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десятидневное\"/>
    </mc:Choice>
  </mc:AlternateContent>
  <bookViews>
    <workbookView xWindow="0" yWindow="0" windowWidth="19200" windowHeight="10980"/>
  </bookViews>
  <sheets>
    <sheet name="все" sheetId="1" r:id="rId1"/>
    <sheet name="лист" sheetId="2" r:id="rId2"/>
  </sheets>
  <definedNames>
    <definedName name="_xlnm.Print_Area" localSheetId="0">все!$A$1:$L$188</definedName>
  </definedNames>
  <calcPr calcId="162913"/>
</workbook>
</file>

<file path=xl/calcChain.xml><?xml version="1.0" encoding="utf-8"?>
<calcChain xmlns="http://schemas.openxmlformats.org/spreadsheetml/2006/main">
  <c r="L184" i="1" l="1"/>
  <c r="L183" i="1"/>
  <c r="H184" i="1" l="1"/>
  <c r="G184" i="1"/>
  <c r="H183" i="1"/>
  <c r="G183" i="1"/>
  <c r="L173" i="1"/>
  <c r="L165" i="1"/>
  <c r="L166" i="1" s="1"/>
  <c r="I166" i="1"/>
  <c r="J156" i="1"/>
  <c r="I156" i="1"/>
  <c r="H156" i="1"/>
  <c r="G156" i="1"/>
  <c r="L155" i="1"/>
  <c r="H155" i="1"/>
  <c r="L148" i="1"/>
  <c r="L147" i="1"/>
  <c r="I148" i="1"/>
  <c r="H148" i="1"/>
  <c r="L138" i="1"/>
  <c r="H138" i="1"/>
  <c r="L129" i="1"/>
  <c r="L130" i="1" s="1"/>
  <c r="G130" i="1"/>
  <c r="G123" i="1"/>
  <c r="L119" i="1"/>
  <c r="L112" i="1"/>
  <c r="L111" i="1"/>
  <c r="L102" i="1"/>
  <c r="L94" i="1"/>
  <c r="L95" i="1" s="1"/>
  <c r="L84" i="1"/>
  <c r="L76" i="1"/>
  <c r="L66" i="1"/>
  <c r="L57" i="1"/>
  <c r="L47" i="1"/>
  <c r="L39" i="1"/>
  <c r="L30" i="1"/>
  <c r="J14" i="1"/>
  <c r="I14" i="1"/>
  <c r="H14" i="1"/>
  <c r="G14" i="1"/>
  <c r="L12" i="1"/>
  <c r="L40" i="1" l="1"/>
  <c r="L77" i="1"/>
  <c r="L58" i="1"/>
  <c r="J83" i="1" l="1"/>
  <c r="I83" i="1"/>
  <c r="H83" i="1"/>
  <c r="G83" i="1"/>
  <c r="I48" i="1"/>
  <c r="J46" i="1"/>
  <c r="I46" i="1"/>
  <c r="H46" i="1"/>
  <c r="G46" i="1"/>
  <c r="J31" i="1"/>
  <c r="I31" i="1"/>
  <c r="H31" i="1"/>
  <c r="G31" i="1"/>
  <c r="I24" i="1"/>
  <c r="J15" i="1" l="1"/>
  <c r="H11" i="1"/>
  <c r="L22" i="1" l="1"/>
  <c r="J152" i="1" l="1"/>
  <c r="I152" i="1"/>
  <c r="H152" i="1"/>
  <c r="G152" i="1"/>
  <c r="J136" i="1"/>
  <c r="I136" i="1"/>
  <c r="H136" i="1"/>
  <c r="G136" i="1"/>
  <c r="H101" i="1"/>
  <c r="J101" i="1"/>
  <c r="I101" i="1"/>
  <c r="G101" i="1"/>
  <c r="J81" i="1"/>
  <c r="I81" i="1"/>
  <c r="H81" i="1"/>
  <c r="G81" i="1"/>
  <c r="J63" i="1"/>
  <c r="I63" i="1"/>
  <c r="H63" i="1"/>
  <c r="G63" i="1"/>
  <c r="J19" i="1"/>
  <c r="I19" i="1"/>
  <c r="H19" i="1"/>
  <c r="G19" i="1"/>
  <c r="J18" i="1"/>
  <c r="I18" i="1"/>
  <c r="H18" i="1"/>
  <c r="G18" i="1"/>
  <c r="J17" i="1"/>
  <c r="I17" i="1"/>
  <c r="H17" i="1"/>
  <c r="G17" i="1"/>
  <c r="J16" i="1"/>
  <c r="I16" i="1"/>
  <c r="H16" i="1"/>
  <c r="G16" i="1"/>
  <c r="I15" i="1"/>
  <c r="H15" i="1"/>
  <c r="G15" i="1"/>
  <c r="J13" i="1"/>
  <c r="I13" i="1"/>
  <c r="H13" i="1"/>
  <c r="G13" i="1"/>
  <c r="G22" i="1" l="1"/>
  <c r="J11" i="1"/>
  <c r="I11" i="1"/>
  <c r="G11" i="1"/>
  <c r="J175" i="1" l="1"/>
  <c r="I175" i="1"/>
  <c r="H175" i="1"/>
  <c r="G175" i="1"/>
  <c r="J157" i="1" l="1"/>
  <c r="I157" i="1"/>
  <c r="H157" i="1"/>
  <c r="G157" i="1"/>
  <c r="J140" i="1" l="1"/>
  <c r="I140" i="1"/>
  <c r="H140" i="1"/>
  <c r="G140" i="1"/>
  <c r="J121" i="1" l="1"/>
  <c r="I121" i="1"/>
  <c r="H121" i="1"/>
  <c r="G121" i="1"/>
  <c r="J104" i="1" l="1"/>
  <c r="I104" i="1"/>
  <c r="H104" i="1"/>
  <c r="G104" i="1"/>
  <c r="J86" i="1" l="1"/>
  <c r="I86" i="1"/>
  <c r="H86" i="1"/>
  <c r="G86" i="1"/>
  <c r="J49" i="1" l="1"/>
  <c r="I49" i="1"/>
  <c r="H49" i="1"/>
  <c r="G49" i="1"/>
  <c r="J32" i="1"/>
  <c r="I32" i="1"/>
  <c r="H32" i="1"/>
  <c r="G32" i="1"/>
  <c r="G33" i="1" l="1"/>
  <c r="G35" i="1"/>
  <c r="G36" i="1"/>
  <c r="J176" i="1" l="1"/>
  <c r="J174" i="1"/>
  <c r="H174" i="1"/>
  <c r="H177" i="1"/>
  <c r="G177" i="1"/>
  <c r="J168" i="1" l="1"/>
  <c r="J167" i="1"/>
  <c r="I167" i="1"/>
  <c r="H167" i="1"/>
  <c r="G168" i="1"/>
  <c r="G167" i="1"/>
  <c r="J159" i="1"/>
  <c r="I159" i="1"/>
  <c r="H159" i="1"/>
  <c r="G159" i="1"/>
  <c r="J150" i="1" l="1"/>
  <c r="I150" i="1"/>
  <c r="H150" i="1"/>
  <c r="H149" i="1"/>
  <c r="G150" i="1"/>
  <c r="H142" i="1"/>
  <c r="H139" i="1"/>
  <c r="G139" i="1"/>
  <c r="J132" i="1"/>
  <c r="H132" i="1"/>
  <c r="G132" i="1"/>
  <c r="G131" i="1"/>
  <c r="J123" i="1"/>
  <c r="J122" i="1"/>
  <c r="J114" i="1"/>
  <c r="I114" i="1"/>
  <c r="H114" i="1"/>
  <c r="G114" i="1"/>
  <c r="J103" i="1"/>
  <c r="J87" i="1"/>
  <c r="J85" i="1"/>
  <c r="I85" i="1"/>
  <c r="H88" i="1"/>
  <c r="G85" i="1"/>
  <c r="J68" i="1"/>
  <c r="J67" i="1"/>
  <c r="I67" i="1"/>
  <c r="I68" i="1"/>
  <c r="G67" i="1"/>
  <c r="J50" i="1" l="1"/>
  <c r="I50" i="1"/>
  <c r="H51" i="1"/>
  <c r="H50" i="1"/>
  <c r="H48" i="1"/>
  <c r="G50" i="1"/>
  <c r="J42" i="1"/>
  <c r="G42" i="1"/>
  <c r="I33" i="1"/>
  <c r="H33" i="1"/>
  <c r="J26" i="1"/>
  <c r="J25" i="1"/>
  <c r="H25" i="1"/>
  <c r="G6" i="1" l="1"/>
  <c r="G68" i="1" l="1"/>
  <c r="H68" i="1"/>
  <c r="J145" i="1" l="1"/>
  <c r="F47" i="1" l="1"/>
  <c r="G176" i="1" l="1"/>
  <c r="J171" i="1"/>
  <c r="I171" i="1"/>
  <c r="H171" i="1"/>
  <c r="G171" i="1"/>
  <c r="F155" i="1"/>
  <c r="J149" i="1"/>
  <c r="I149" i="1"/>
  <c r="G149" i="1"/>
  <c r="J142" i="1"/>
  <c r="I141" i="1"/>
  <c r="J141" i="1"/>
  <c r="H141" i="1"/>
  <c r="G141" i="1"/>
  <c r="I139" i="1"/>
  <c r="J131" i="1"/>
  <c r="I131" i="1"/>
  <c r="H131" i="1"/>
  <c r="G122" i="1"/>
  <c r="J116" i="1"/>
  <c r="I116" i="1"/>
  <c r="H116" i="1"/>
  <c r="G116" i="1"/>
  <c r="J82" i="1"/>
  <c r="I82" i="1"/>
  <c r="H82" i="1"/>
  <c r="G82" i="1"/>
  <c r="I105" i="1"/>
  <c r="H105" i="1"/>
  <c r="G105" i="1"/>
  <c r="J96" i="1"/>
  <c r="F111" i="1"/>
  <c r="F102" i="1"/>
  <c r="J105" i="1"/>
  <c r="J90" i="1"/>
  <c r="I90" i="1"/>
  <c r="H90" i="1"/>
  <c r="G90" i="1"/>
  <c r="F112" i="1" l="1"/>
  <c r="J88" i="1"/>
  <c r="G87" i="1"/>
  <c r="F84" i="1"/>
  <c r="J72" i="1" l="1"/>
  <c r="I72" i="1"/>
  <c r="H72" i="1"/>
  <c r="G72" i="1"/>
  <c r="J62" i="1"/>
  <c r="I62" i="1"/>
  <c r="H62" i="1"/>
  <c r="G62" i="1"/>
  <c r="J61" i="1"/>
  <c r="I61" i="1"/>
  <c r="H61" i="1"/>
  <c r="G61" i="1"/>
  <c r="J53" i="1"/>
  <c r="I53" i="1"/>
  <c r="H53" i="1"/>
  <c r="G53" i="1"/>
  <c r="H45" i="1"/>
  <c r="J33" i="1" l="1"/>
  <c r="J35" i="1"/>
  <c r="I35" i="1"/>
  <c r="H35" i="1"/>
  <c r="J34" i="1"/>
  <c r="I34" i="1"/>
  <c r="H34" i="1"/>
  <c r="G34" i="1" s="1"/>
  <c r="H24" i="1"/>
  <c r="G24" i="1"/>
  <c r="L23" i="1"/>
  <c r="F12" i="1"/>
  <c r="J10" i="1"/>
  <c r="I10" i="1"/>
  <c r="H10" i="1"/>
  <c r="G10" i="1"/>
  <c r="J170" i="1" l="1"/>
  <c r="I170" i="1"/>
  <c r="H170" i="1"/>
  <c r="G170" i="1"/>
  <c r="G173" i="1" s="1"/>
  <c r="J8" i="1" l="1"/>
  <c r="I8" i="1"/>
  <c r="H8" i="1"/>
  <c r="G8" i="1"/>
  <c r="J6" i="1"/>
  <c r="I6" i="1"/>
  <c r="H6" i="1"/>
  <c r="I174" i="1" l="1"/>
  <c r="G174" i="1"/>
  <c r="J158" i="1" l="1"/>
  <c r="I158" i="1"/>
  <c r="H158" i="1"/>
  <c r="G158" i="1"/>
  <c r="J162" i="1"/>
  <c r="I162" i="1"/>
  <c r="H162" i="1"/>
  <c r="G162" i="1"/>
  <c r="J161" i="1"/>
  <c r="I161" i="1"/>
  <c r="H161" i="1"/>
  <c r="G161" i="1"/>
  <c r="G153" i="1"/>
  <c r="H153" i="1"/>
  <c r="I153" i="1"/>
  <c r="J153" i="1"/>
  <c r="J139" i="1"/>
  <c r="I142" i="1"/>
  <c r="G142" i="1"/>
  <c r="I145" i="1"/>
  <c r="H145" i="1"/>
  <c r="G145" i="1"/>
  <c r="J144" i="1"/>
  <c r="I144" i="1"/>
  <c r="H144" i="1"/>
  <c r="G144" i="1"/>
  <c r="I132" i="1"/>
  <c r="J135" i="1"/>
  <c r="I135" i="1"/>
  <c r="H135" i="1"/>
  <c r="G135" i="1"/>
  <c r="J134" i="1"/>
  <c r="I134" i="1"/>
  <c r="H134" i="1"/>
  <c r="G134" i="1"/>
  <c r="G138" i="1" s="1"/>
  <c r="I123" i="1"/>
  <c r="H123" i="1"/>
  <c r="I122" i="1"/>
  <c r="H122" i="1"/>
  <c r="J125" i="1"/>
  <c r="I125" i="1"/>
  <c r="H125" i="1"/>
  <c r="G125" i="1"/>
  <c r="J120" i="1"/>
  <c r="I120" i="1"/>
  <c r="H120" i="1"/>
  <c r="G120" i="1"/>
  <c r="J113" i="1"/>
  <c r="I113" i="1"/>
  <c r="H113" i="1"/>
  <c r="G113" i="1"/>
  <c r="I103" i="1"/>
  <c r="H103" i="1"/>
  <c r="G103" i="1"/>
  <c r="I96" i="1"/>
  <c r="H96" i="1"/>
  <c r="G96" i="1"/>
  <c r="J99" i="1"/>
  <c r="I99" i="1"/>
  <c r="H99" i="1"/>
  <c r="G99" i="1"/>
  <c r="J100" i="1"/>
  <c r="I100" i="1"/>
  <c r="H100" i="1"/>
  <c r="G100" i="1"/>
  <c r="H85" i="1"/>
  <c r="I87" i="1"/>
  <c r="H87" i="1"/>
  <c r="I88" i="1"/>
  <c r="G88" i="1"/>
  <c r="J91" i="1"/>
  <c r="J94" i="1" s="1"/>
  <c r="I91" i="1"/>
  <c r="H91" i="1"/>
  <c r="G91" i="1"/>
  <c r="G94" i="1" l="1"/>
  <c r="G147" i="1"/>
  <c r="J147" i="1"/>
  <c r="I147" i="1"/>
  <c r="I165" i="1"/>
  <c r="G155" i="1"/>
  <c r="J155" i="1"/>
  <c r="I155" i="1"/>
  <c r="H102" i="1"/>
  <c r="I102" i="1"/>
  <c r="J102" i="1"/>
  <c r="G102" i="1"/>
  <c r="J79" i="1"/>
  <c r="I79" i="1"/>
  <c r="H79" i="1"/>
  <c r="G79" i="1"/>
  <c r="H67" i="1"/>
  <c r="J70" i="1"/>
  <c r="I70" i="1"/>
  <c r="H70" i="1"/>
  <c r="G70" i="1"/>
  <c r="J107" i="1"/>
  <c r="I107" i="1"/>
  <c r="H107" i="1"/>
  <c r="G107" i="1"/>
  <c r="J69" i="1"/>
  <c r="I69" i="1"/>
  <c r="H69" i="1"/>
  <c r="G69" i="1"/>
  <c r="J59" i="1" l="1"/>
  <c r="I59" i="1"/>
  <c r="H59" i="1"/>
  <c r="G59" i="1"/>
  <c r="J48" i="1"/>
  <c r="G48" i="1"/>
  <c r="J54" i="1"/>
  <c r="I54" i="1"/>
  <c r="H54" i="1"/>
  <c r="G54" i="1"/>
  <c r="J51" i="1"/>
  <c r="I51" i="1"/>
  <c r="G51" i="1"/>
  <c r="I57" i="1" l="1"/>
  <c r="G57" i="1"/>
  <c r="I25" i="1"/>
  <c r="G25" i="1"/>
  <c r="J24" i="1"/>
  <c r="G27" i="1"/>
  <c r="H27" i="1"/>
  <c r="I27" i="1"/>
  <c r="J27" i="1"/>
  <c r="G28" i="1"/>
  <c r="H28" i="1"/>
  <c r="I28" i="1"/>
  <c r="J28" i="1"/>
  <c r="J9" i="1"/>
  <c r="J12" i="1" s="1"/>
  <c r="I9" i="1"/>
  <c r="I12" i="1" s="1"/>
  <c r="H9" i="1"/>
  <c r="H12" i="1" s="1"/>
  <c r="G9" i="1"/>
  <c r="G12" i="1" s="1"/>
  <c r="G30" i="1" l="1"/>
  <c r="F183" i="1"/>
  <c r="J180" i="1"/>
  <c r="I180" i="1"/>
  <c r="H180" i="1"/>
  <c r="G180" i="1"/>
  <c r="J179" i="1"/>
  <c r="I179" i="1"/>
  <c r="H179" i="1"/>
  <c r="G179" i="1"/>
  <c r="J177" i="1"/>
  <c r="I177" i="1"/>
  <c r="I176" i="1"/>
  <c r="H176" i="1"/>
  <c r="F173" i="1"/>
  <c r="J173" i="1"/>
  <c r="I168" i="1"/>
  <c r="I173" i="1" s="1"/>
  <c r="H168" i="1"/>
  <c r="H173" i="1" s="1"/>
  <c r="F165" i="1"/>
  <c r="F166" i="1" s="1"/>
  <c r="G165" i="1"/>
  <c r="B148" i="1"/>
  <c r="A148" i="1"/>
  <c r="F147" i="1"/>
  <c r="H147" i="1"/>
  <c r="B139" i="1"/>
  <c r="A139" i="1"/>
  <c r="F138" i="1"/>
  <c r="B130" i="1"/>
  <c r="A130" i="1"/>
  <c r="F129" i="1"/>
  <c r="J126" i="1"/>
  <c r="J129" i="1" s="1"/>
  <c r="I126" i="1"/>
  <c r="I129" i="1" s="1"/>
  <c r="H126" i="1"/>
  <c r="H129" i="1" s="1"/>
  <c r="G126" i="1"/>
  <c r="G129" i="1" s="1"/>
  <c r="B120" i="1"/>
  <c r="A120" i="1"/>
  <c r="F119" i="1"/>
  <c r="J119" i="1"/>
  <c r="I119" i="1"/>
  <c r="H119" i="1"/>
  <c r="G119" i="1"/>
  <c r="B112" i="1"/>
  <c r="A112" i="1"/>
  <c r="J109" i="1"/>
  <c r="I109" i="1"/>
  <c r="H109" i="1"/>
  <c r="G109" i="1"/>
  <c r="J106" i="1"/>
  <c r="I106" i="1"/>
  <c r="I111" i="1" s="1"/>
  <c r="H106" i="1"/>
  <c r="G106" i="1"/>
  <c r="B103" i="1"/>
  <c r="A103" i="1"/>
  <c r="B95" i="1"/>
  <c r="A95" i="1"/>
  <c r="F94" i="1"/>
  <c r="H94" i="1"/>
  <c r="B85" i="1"/>
  <c r="A85" i="1"/>
  <c r="J84" i="1"/>
  <c r="J95" i="1" s="1"/>
  <c r="I84" i="1"/>
  <c r="H84" i="1"/>
  <c r="G84" i="1"/>
  <c r="B77" i="1"/>
  <c r="A77" i="1"/>
  <c r="F76" i="1"/>
  <c r="J73" i="1"/>
  <c r="I73" i="1"/>
  <c r="H73" i="1"/>
  <c r="G73" i="1"/>
  <c r="B67" i="1"/>
  <c r="A67" i="1"/>
  <c r="F66" i="1"/>
  <c r="J66" i="1"/>
  <c r="I66" i="1"/>
  <c r="H66" i="1"/>
  <c r="G66" i="1"/>
  <c r="B58" i="1"/>
  <c r="A58" i="1"/>
  <c r="F57" i="1"/>
  <c r="J45" i="1"/>
  <c r="I45" i="1"/>
  <c r="G45" i="1"/>
  <c r="J44" i="1"/>
  <c r="I44" i="1"/>
  <c r="H44" i="1"/>
  <c r="G44" i="1"/>
  <c r="I42" i="1"/>
  <c r="H42" i="1"/>
  <c r="J41" i="1"/>
  <c r="I41" i="1"/>
  <c r="H41" i="1"/>
  <c r="G41" i="1"/>
  <c r="B40" i="1"/>
  <c r="A40" i="1"/>
  <c r="F39" i="1"/>
  <c r="J36" i="1"/>
  <c r="J39" i="1" s="1"/>
  <c r="I36" i="1"/>
  <c r="H36" i="1"/>
  <c r="H39" i="1" s="1"/>
  <c r="G39" i="1"/>
  <c r="F30" i="1"/>
  <c r="J30" i="1"/>
  <c r="I30" i="1"/>
  <c r="H30" i="1"/>
  <c r="B23" i="1"/>
  <c r="A23" i="1"/>
  <c r="F22" i="1"/>
  <c r="H22" i="1"/>
  <c r="J22" i="1"/>
  <c r="I22" i="1"/>
  <c r="B13" i="1"/>
  <c r="A13" i="1"/>
  <c r="J40" i="1" l="1"/>
  <c r="I183" i="1"/>
  <c r="I184" i="1" s="1"/>
  <c r="H47" i="1"/>
  <c r="I112" i="1"/>
  <c r="G111" i="1"/>
  <c r="G112" i="1" s="1"/>
  <c r="G47" i="1"/>
  <c r="G58" i="1" s="1"/>
  <c r="I47" i="1"/>
  <c r="I58" i="1" s="1"/>
  <c r="J111" i="1"/>
  <c r="J112" i="1" s="1"/>
  <c r="F184" i="1"/>
  <c r="H111" i="1"/>
  <c r="H112" i="1" s="1"/>
  <c r="J183" i="1"/>
  <c r="J184" i="1" s="1"/>
  <c r="F130" i="1"/>
  <c r="I130" i="1"/>
  <c r="J47" i="1"/>
  <c r="G166" i="1"/>
  <c r="G95" i="1"/>
  <c r="F40" i="1"/>
  <c r="I39" i="1"/>
  <c r="I40" i="1" s="1"/>
  <c r="G148" i="1"/>
  <c r="I138" i="1"/>
  <c r="H165" i="1"/>
  <c r="H166" i="1" s="1"/>
  <c r="J165" i="1"/>
  <c r="J166" i="1" s="1"/>
  <c r="H57" i="1"/>
  <c r="J57" i="1"/>
  <c r="J138" i="1"/>
  <c r="J148" i="1" s="1"/>
  <c r="F148" i="1"/>
  <c r="J130" i="1"/>
  <c r="J23" i="1"/>
  <c r="F77" i="1"/>
  <c r="G76" i="1"/>
  <c r="G77" i="1" s="1"/>
  <c r="I76" i="1"/>
  <c r="I77" i="1" s="1"/>
  <c r="H130" i="1"/>
  <c r="H76" i="1"/>
  <c r="H77" i="1" s="1"/>
  <c r="J76" i="1"/>
  <c r="J77" i="1" s="1"/>
  <c r="F58" i="1"/>
  <c r="H95" i="1"/>
  <c r="F95" i="1"/>
  <c r="I94" i="1"/>
  <c r="I95" i="1" s="1"/>
  <c r="G40" i="1"/>
  <c r="H40" i="1"/>
  <c r="F23" i="1"/>
  <c r="H23" i="1"/>
  <c r="I23" i="1"/>
  <c r="H58" i="1" l="1"/>
  <c r="H185" i="1" s="1"/>
  <c r="I185" i="1"/>
  <c r="J58" i="1"/>
  <c r="J185" i="1" s="1"/>
  <c r="F185" i="1"/>
  <c r="G23" i="1"/>
  <c r="G185" i="1" s="1"/>
</calcChain>
</file>

<file path=xl/sharedStrings.xml><?xml version="1.0" encoding="utf-8"?>
<sst xmlns="http://schemas.openxmlformats.org/spreadsheetml/2006/main" count="414" uniqueCount="169">
  <si>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</si>
  <si>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</si>
  <si>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</si>
  <si>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</si>
  <si>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</si>
  <si>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</si>
  <si>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</si>
  <si>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</si>
  <si>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</si>
  <si>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</si>
  <si>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</si>
  <si>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</si>
  <si>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</si>
  <si>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</si>
  <si>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</si>
  <si>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</si>
  <si>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</si>
  <si>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</si>
  <si>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</si>
  <si>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</si>
  <si>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</si>
  <si>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</si>
  <si>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</si>
  <si>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</si>
  <si>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Кофейный напиток на молоке</t>
  </si>
  <si>
    <t>пром</t>
  </si>
  <si>
    <t>Бутерброд с сыром</t>
  </si>
  <si>
    <t>итого</t>
  </si>
  <si>
    <t>Обед</t>
  </si>
  <si>
    <t>закуска</t>
  </si>
  <si>
    <t>1 блюдо</t>
  </si>
  <si>
    <t>2 блюдо</t>
  </si>
  <si>
    <t>гарнир</t>
  </si>
  <si>
    <t>Макароны отварные</t>
  </si>
  <si>
    <t>Компот из кураги и яблок</t>
  </si>
  <si>
    <t>хлеб бел.</t>
  </si>
  <si>
    <t>Хлеб пшеничный витаминизированный</t>
  </si>
  <si>
    <t>хлеб черн.</t>
  </si>
  <si>
    <t>Итого за день:</t>
  </si>
  <si>
    <t xml:space="preserve">пром </t>
  </si>
  <si>
    <t xml:space="preserve">Котлета из кур </t>
  </si>
  <si>
    <t>Напиток "Золотой шар"</t>
  </si>
  <si>
    <t>37.2</t>
  </si>
  <si>
    <t>Голень или бедро птицы отварное</t>
  </si>
  <si>
    <t>Компот из сухофруктов</t>
  </si>
  <si>
    <t>Каша гречневая рассыпчатая</t>
  </si>
  <si>
    <t>Кисель из ягод</t>
  </si>
  <si>
    <t>Колбаски "Витаминные"</t>
  </si>
  <si>
    <t>64</t>
  </si>
  <si>
    <t>Компот из яблок и изюма</t>
  </si>
  <si>
    <t>23</t>
  </si>
  <si>
    <t>Картофельное пюре</t>
  </si>
  <si>
    <t>36.10</t>
  </si>
  <si>
    <t>32.1</t>
  </si>
  <si>
    <t xml:space="preserve">Плов </t>
  </si>
  <si>
    <t>Напиток из шиповника</t>
  </si>
  <si>
    <t>37.10</t>
  </si>
  <si>
    <t>Каша пшеничная молочная с маслом сливочным</t>
  </si>
  <si>
    <t>32.10</t>
  </si>
  <si>
    <t>фрукт</t>
  </si>
  <si>
    <t>18.2</t>
  </si>
  <si>
    <t>Чай каркаде</t>
  </si>
  <si>
    <t>27.11</t>
  </si>
  <si>
    <t>Бутерброд с маслом</t>
  </si>
  <si>
    <t>39.3</t>
  </si>
  <si>
    <t xml:space="preserve">Суфле из мяса кур </t>
  </si>
  <si>
    <t>Винегрет овощной</t>
  </si>
  <si>
    <t>Тефтели рыбные  в соусе</t>
  </si>
  <si>
    <t>Мясо кур отварное в соусе</t>
  </si>
  <si>
    <t>46.3</t>
  </si>
  <si>
    <t>38.2</t>
  </si>
  <si>
    <t>Биточек мясной паровой</t>
  </si>
  <si>
    <t>Рагу из овощей</t>
  </si>
  <si>
    <t>32/3</t>
  </si>
  <si>
    <t>44357</t>
  </si>
  <si>
    <t>Среднее значение за период:</t>
  </si>
  <si>
    <t>Гренки</t>
  </si>
  <si>
    <t>Фрукты</t>
  </si>
  <si>
    <t>90</t>
  </si>
  <si>
    <t>16.81</t>
  </si>
  <si>
    <t>Суфле "Рыбка"</t>
  </si>
  <si>
    <t xml:space="preserve">хлеб </t>
  </si>
  <si>
    <t>29/2</t>
  </si>
  <si>
    <t>40/2</t>
  </si>
  <si>
    <t>Председатель Правления ПК"СЫСЕРТСКОЕ РАЙПО"</t>
  </si>
  <si>
    <t>Шалапугина Н.В.</t>
  </si>
  <si>
    <t>40/3</t>
  </si>
  <si>
    <t>сладкое</t>
  </si>
  <si>
    <t>Тефтели мясные с рисом паровые</t>
  </si>
  <si>
    <t>Запеканка из творога с рисом со сгущенным молоком</t>
  </si>
  <si>
    <t>16.4</t>
  </si>
  <si>
    <t>44240</t>
  </si>
  <si>
    <t>Какао на молоке</t>
  </si>
  <si>
    <t>41/1</t>
  </si>
  <si>
    <t>22.2</t>
  </si>
  <si>
    <t>Мясо, тушеное с овощами</t>
  </si>
  <si>
    <t>Чай с лимоном</t>
  </si>
  <si>
    <t>29.10</t>
  </si>
  <si>
    <t>Салат из белокачанной капусты с морковью и растительным маслом и зеленью</t>
  </si>
  <si>
    <t>Омлет натуральный</t>
  </si>
  <si>
    <t>Чай с сахаром</t>
  </si>
  <si>
    <t>44233</t>
  </si>
  <si>
    <t>27.10</t>
  </si>
  <si>
    <t>Салат из моркови с яблоками и растительным маслом</t>
  </si>
  <si>
    <t>Биточки из говядины паровые</t>
  </si>
  <si>
    <t>17/1</t>
  </si>
  <si>
    <t>44257</t>
  </si>
  <si>
    <t>16.8</t>
  </si>
  <si>
    <t>Каша  молочная рисовая с маслом сливочным</t>
  </si>
  <si>
    <t xml:space="preserve">Компот из кураги </t>
  </si>
  <si>
    <t>16</t>
  </si>
  <si>
    <t>Компот из свежих фруктов</t>
  </si>
  <si>
    <t>44265</t>
  </si>
  <si>
    <t>Каша гречневая рассыпчатая с овощами</t>
  </si>
  <si>
    <t>Салат "Фантазия"</t>
  </si>
  <si>
    <t>13/1,1</t>
  </si>
  <si>
    <t>18.7</t>
  </si>
  <si>
    <t>44258</t>
  </si>
  <si>
    <t>948</t>
  </si>
  <si>
    <t>Чай ягодный</t>
  </si>
  <si>
    <t>Рис припущенный</t>
  </si>
  <si>
    <t>Компот из кураги и изюма</t>
  </si>
  <si>
    <t>305</t>
  </si>
  <si>
    <t>44510</t>
  </si>
  <si>
    <t>44417</t>
  </si>
  <si>
    <t>Салат из отварной свеклы с сыром и растительным маслом</t>
  </si>
  <si>
    <t>40</t>
  </si>
  <si>
    <t xml:space="preserve">Капуста тушеная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</si>
  <si>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Хлеб ржано-пшеничный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</si>
  <si>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44348</t>
  </si>
  <si>
    <t>Жиры</t>
  </si>
  <si>
    <t>37/2</t>
  </si>
  <si>
    <t>36,81</t>
  </si>
  <si>
    <t>29/11</t>
  </si>
  <si>
    <t>20.2</t>
  </si>
  <si>
    <t>36/81</t>
  </si>
  <si>
    <t>Салат из свежих овощей с маслом растительным</t>
  </si>
  <si>
    <t>Суп из овощей со сметаной</t>
  </si>
  <si>
    <t>44209</t>
  </si>
  <si>
    <t>Яйцо отварное</t>
  </si>
  <si>
    <t>12-18 лет</t>
  </si>
  <si>
    <t>44202</t>
  </si>
  <si>
    <t>Суп картофельный с бобовыми, мясом, зеленью</t>
  </si>
  <si>
    <t>16,2</t>
  </si>
  <si>
    <t>46,3</t>
  </si>
  <si>
    <t>44206</t>
  </si>
  <si>
    <t>Салат из огурцов, помидор с растительным маслом, зеленью</t>
  </si>
  <si>
    <t>21,1</t>
  </si>
  <si>
    <t>Суп-пюре картофельный с мясом, зеленью</t>
  </si>
  <si>
    <t>Зеленый горошек конс. с растительным маслом</t>
  </si>
  <si>
    <t>445</t>
  </si>
  <si>
    <t xml:space="preserve">Бутерброд с маслом </t>
  </si>
  <si>
    <t>Биточки мясные паровые</t>
  </si>
  <si>
    <t>Салат из отварной свеклы с растительным маслом</t>
  </si>
  <si>
    <t>44409</t>
  </si>
  <si>
    <t>Салат из свежей капусты с огурцами и растительным маслом</t>
  </si>
  <si>
    <t>Кукуруза консервированная с растительным маслом</t>
  </si>
  <si>
    <t>446</t>
  </si>
  <si>
    <t>Салат из помидоров с зеленью и маслом растительным</t>
  </si>
  <si>
    <t>20/1</t>
  </si>
  <si>
    <t>Салат из картофеля с соленым огурцом, луком и растительным маслом</t>
  </si>
  <si>
    <t>Суп-лапша на куринном бульоне с зеленью</t>
  </si>
  <si>
    <t>Суп картофельный с крупой и рыбной консервой</t>
  </si>
  <si>
    <t>Борщ из капусты с картофелем, сметаной, мясом и зеленью</t>
  </si>
  <si>
    <t>Салат из свежей капусты с огурцом, растительным маслом и зеленью</t>
  </si>
  <si>
    <t>Рассольник с крупой,  сметаной, мясом и зеленью</t>
  </si>
  <si>
    <t>Щи с капустой и картофелем со сметаной, мясом и зеленью</t>
  </si>
  <si>
    <t>Суп картофельный с макаронными изделиями и мясом</t>
  </si>
  <si>
    <t>Суп крестьянский с крупой и сметаной, мясом и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</si>
</sst>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2D2D2D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 Cyr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4C4C4C"/>
      <name val="Arial"/>
      <family val="2"/>
      <charset val="204"/>
    </font>
    <font>
      <sz val="12"/>
      <color rgb="FF2D2D2D"/>
      <name val="Arial"/>
      <family val="2"/>
      <charset val="204"/>
    </font>
    <font>
      <sz val="12"/>
      <color rgb="FF4C4C4C"/>
      <name val="Arial"/>
      <family val="2"/>
      <charset val="204"/>
    </font>
    <font>
      <i/>
      <sz val="12"/>
      <color theme="1"/>
      <name val="Arial"/>
      <family val="2"/>
      <charset val="204"/>
    </font>
    <font>
      <b/>
      <sz val="12"/>
      <color rgb="FF2D2D2D"/>
      <name val="Arial"/>
      <family val="2"/>
      <charset val="204"/>
    </font>
    <font>
      <sz val="12"/>
      <color rgb="FFFF000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0">
    <xf numFmtId="0" fontId="0" fillId="0" borderId="0"/>
    <xf numFmtId="0" fontId="12" fillId="0" borderId="0"/>
    <xf numFmtId="0" fontId="13" fillId="0" borderId="0"/>
    <xf numFmtId="0" fontId="14" fillId="0" borderId="0"/>
    <xf numFmtId="0" fontId="12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8">
    <xf numFmtId="0" fontId="0" fillId="0" borderId="0" xfId="0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2" fontId="8" fillId="0" borderId="0" xfId="0" applyNumberFormat="1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2" fontId="8" fillId="3" borderId="1" xfId="0" applyNumberFormat="1" applyFont="1" applyFill="1" applyBorder="1" applyAlignment="1">
      <alignment horizontal="left" vertical="center"/>
    </xf>
    <xf numFmtId="2" fontId="7" fillId="3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2" fontId="7" fillId="3" borderId="0" xfId="0" applyNumberFormat="1" applyFont="1" applyFill="1" applyAlignment="1">
      <alignment horizontal="left" vertical="center" wrapText="1"/>
    </xf>
    <xf numFmtId="49" fontId="8" fillId="3" borderId="23" xfId="0" applyNumberFormat="1" applyFont="1" applyFill="1" applyBorder="1" applyAlignment="1">
      <alignment horizontal="center" vertical="center"/>
    </xf>
    <xf numFmtId="2" fontId="7" fillId="3" borderId="0" xfId="0" applyNumberFormat="1" applyFont="1" applyFill="1" applyBorder="1" applyAlignment="1">
      <alignment horizontal="left" vertical="center" wrapText="1"/>
    </xf>
    <xf numFmtId="2" fontId="8" fillId="3" borderId="0" xfId="0" applyNumberFormat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2" fontId="11" fillId="3" borderId="0" xfId="0" applyNumberFormat="1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left"/>
    </xf>
    <xf numFmtId="0" fontId="6" fillId="3" borderId="1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 applyProtection="1">
      <alignment horizontal="left"/>
      <protection locked="0"/>
    </xf>
    <xf numFmtId="0" fontId="6" fillId="4" borderId="2" xfId="0" applyFont="1" applyFill="1" applyBorder="1" applyAlignment="1">
      <alignment horizontal="left"/>
    </xf>
    <xf numFmtId="0" fontId="9" fillId="4" borderId="1" xfId="0" applyFont="1" applyFill="1" applyBorder="1" applyAlignment="1" applyProtection="1">
      <alignment horizontal="left"/>
      <protection locked="0"/>
    </xf>
    <xf numFmtId="0" fontId="6" fillId="3" borderId="15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 vertical="center"/>
    </xf>
    <xf numFmtId="0" fontId="7" fillId="3" borderId="0" xfId="2" applyFont="1" applyFill="1" applyAlignment="1">
      <alignment horizontal="left" vertical="center" wrapText="1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7" fillId="3" borderId="1" xfId="2" applyFont="1" applyFill="1" applyBorder="1" applyAlignment="1">
      <alignment horizontal="left" vertical="center" wrapText="1"/>
    </xf>
    <xf numFmtId="2" fontId="7" fillId="3" borderId="1" xfId="2" applyNumberFormat="1" applyFont="1" applyFill="1" applyBorder="1" applyAlignment="1">
      <alignment horizontal="left" vertical="center" wrapText="1"/>
    </xf>
    <xf numFmtId="49" fontId="15" fillId="3" borderId="2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left"/>
    </xf>
    <xf numFmtId="0" fontId="16" fillId="0" borderId="0" xfId="0" applyFont="1"/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49" fontId="22" fillId="0" borderId="20" xfId="0" applyNumberFormat="1" applyFont="1" applyBorder="1" applyAlignment="1">
      <alignment horizontal="center" vertical="center" wrapText="1"/>
    </xf>
    <xf numFmtId="0" fontId="16" fillId="3" borderId="0" xfId="0" applyFont="1" applyFill="1"/>
    <xf numFmtId="0" fontId="16" fillId="3" borderId="1" xfId="0" applyFont="1" applyFill="1" applyBorder="1" applyAlignment="1" applyProtection="1">
      <alignment horizontal="left" vertical="top" wrapText="1"/>
      <protection locked="0"/>
    </xf>
    <xf numFmtId="0" fontId="15" fillId="3" borderId="1" xfId="0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left" vertical="top" wrapText="1"/>
    </xf>
    <xf numFmtId="2" fontId="15" fillId="4" borderId="1" xfId="0" applyNumberFormat="1" applyFont="1" applyFill="1" applyBorder="1" applyAlignment="1">
      <alignment horizontal="left" vertical="top" wrapText="1"/>
    </xf>
    <xf numFmtId="2" fontId="7" fillId="3" borderId="0" xfId="2" applyNumberFormat="1" applyFont="1" applyFill="1" applyAlignment="1">
      <alignment horizontal="left" vertical="center" wrapText="1"/>
    </xf>
    <xf numFmtId="0" fontId="23" fillId="3" borderId="0" xfId="0" applyFont="1" applyFill="1"/>
    <xf numFmtId="0" fontId="16" fillId="4" borderId="17" xfId="0" applyFont="1" applyFill="1" applyBorder="1" applyAlignment="1">
      <alignment horizontal="left" vertical="top" wrapText="1"/>
    </xf>
    <xf numFmtId="2" fontId="15" fillId="3" borderId="1" xfId="0" applyNumberFormat="1" applyFont="1" applyFill="1" applyBorder="1" applyAlignment="1" applyProtection="1">
      <alignment horizontal="left" vertical="top" wrapText="1"/>
      <protection locked="0"/>
    </xf>
    <xf numFmtId="2" fontId="15" fillId="4" borderId="17" xfId="0" applyNumberFormat="1" applyFont="1" applyFill="1" applyBorder="1" applyAlignment="1">
      <alignment horizontal="left" vertical="top" wrapText="1"/>
    </xf>
    <xf numFmtId="0" fontId="6" fillId="3" borderId="1" xfId="0" applyFont="1" applyFill="1" applyBorder="1" applyAlignment="1" applyProtection="1">
      <alignment horizontal="left" vertical="top" wrapText="1"/>
      <protection locked="0"/>
    </xf>
    <xf numFmtId="49" fontId="7" fillId="3" borderId="1" xfId="2" applyNumberFormat="1" applyFont="1" applyFill="1" applyBorder="1" applyAlignment="1">
      <alignment horizontal="left" vertical="center" wrapText="1"/>
    </xf>
    <xf numFmtId="2" fontId="11" fillId="4" borderId="1" xfId="0" applyNumberFormat="1" applyFont="1" applyFill="1" applyBorder="1" applyAlignment="1">
      <alignment horizontal="left" vertical="top" wrapText="1"/>
    </xf>
    <xf numFmtId="0" fontId="16" fillId="4" borderId="16" xfId="0" applyFont="1" applyFill="1" applyBorder="1" applyAlignment="1">
      <alignment horizontal="center"/>
    </xf>
    <xf numFmtId="0" fontId="16" fillId="4" borderId="17" xfId="0" applyFont="1" applyFill="1" applyBorder="1" applyAlignment="1">
      <alignment horizontal="center"/>
    </xf>
    <xf numFmtId="0" fontId="16" fillId="0" borderId="3" xfId="0" applyFont="1" applyBorder="1"/>
    <xf numFmtId="0" fontId="16" fillId="0" borderId="4" xfId="0" applyFont="1" applyBorder="1"/>
    <xf numFmtId="0" fontId="16" fillId="3" borderId="0" xfId="0" applyFont="1" applyFill="1" applyAlignment="1">
      <alignment horizontal="left"/>
    </xf>
    <xf numFmtId="0" fontId="16" fillId="3" borderId="0" xfId="0" applyFont="1" applyFill="1" applyBorder="1"/>
    <xf numFmtId="2" fontId="15" fillId="3" borderId="0" xfId="0" applyNumberFormat="1" applyFont="1" applyFill="1" applyBorder="1" applyAlignment="1" applyProtection="1">
      <alignment horizontal="center" vertical="top" wrapText="1"/>
      <protection locked="0"/>
    </xf>
    <xf numFmtId="0" fontId="16" fillId="0" borderId="0" xfId="0" applyFont="1" applyBorder="1"/>
    <xf numFmtId="49" fontId="15" fillId="4" borderId="22" xfId="0" applyNumberFormat="1" applyFont="1" applyFill="1" applyBorder="1" applyAlignment="1">
      <alignment horizontal="center" vertical="center" wrapText="1"/>
    </xf>
    <xf numFmtId="49" fontId="15" fillId="4" borderId="17" xfId="0" applyNumberFormat="1" applyFont="1" applyFill="1" applyBorder="1" applyAlignment="1">
      <alignment horizontal="center" vertical="center" wrapText="1"/>
    </xf>
    <xf numFmtId="49" fontId="15" fillId="3" borderId="4" xfId="0" applyNumberFormat="1" applyFont="1" applyFill="1" applyBorder="1" applyAlignment="1">
      <alignment horizontal="center" vertical="center"/>
    </xf>
    <xf numFmtId="49" fontId="15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wrapText="1"/>
      <protection locked="0"/>
    </xf>
    <xf numFmtId="0" fontId="16" fillId="0" borderId="0" xfId="0" applyFont="1" applyAlignment="1">
      <alignment horizontal="left" wrapText="1"/>
    </xf>
    <xf numFmtId="0" fontId="22" fillId="0" borderId="4" xfId="0" applyFont="1" applyBorder="1" applyAlignment="1">
      <alignment horizontal="left" vertical="center" wrapText="1"/>
    </xf>
    <xf numFmtId="0" fontId="16" fillId="3" borderId="0" xfId="0" applyFont="1" applyFill="1" applyAlignment="1">
      <alignment horizontal="left" wrapText="1"/>
    </xf>
    <xf numFmtId="0" fontId="16" fillId="3" borderId="0" xfId="0" applyFont="1" applyFill="1" applyBorder="1" applyAlignment="1">
      <alignment horizontal="left" wrapText="1"/>
    </xf>
    <xf numFmtId="0" fontId="6" fillId="3" borderId="0" xfId="0" applyFont="1" applyFill="1" applyBorder="1" applyAlignment="1">
      <alignment horizontal="left" wrapText="1"/>
    </xf>
    <xf numFmtId="0" fontId="6" fillId="3" borderId="0" xfId="0" applyFont="1" applyFill="1" applyBorder="1" applyAlignment="1" applyProtection="1">
      <alignment horizontal="left" wrapText="1"/>
      <protection locked="0"/>
    </xf>
    <xf numFmtId="0" fontId="16" fillId="0" borderId="0" xfId="0" applyFont="1" applyBorder="1" applyAlignment="1">
      <alignment horizontal="left" wrapText="1"/>
    </xf>
    <xf numFmtId="2" fontId="15" fillId="3" borderId="4" xfId="0" applyNumberFormat="1" applyFont="1" applyFill="1" applyBorder="1" applyAlignment="1">
      <alignment horizontal="left"/>
    </xf>
    <xf numFmtId="2" fontId="7" fillId="3" borderId="1" xfId="0" applyNumberFormat="1" applyFont="1" applyFill="1" applyBorder="1" applyAlignment="1" applyProtection="1">
      <alignment horizontal="left" vertical="center"/>
      <protection locked="0"/>
    </xf>
    <xf numFmtId="2" fontId="7" fillId="3" borderId="1" xfId="2" applyNumberFormat="1" applyFont="1" applyFill="1" applyBorder="1" applyAlignment="1">
      <alignment horizontal="left" vertical="center"/>
    </xf>
    <xf numFmtId="49" fontId="16" fillId="3" borderId="21" xfId="0" applyNumberFormat="1" applyFont="1" applyFill="1" applyBorder="1" applyAlignment="1" applyProtection="1">
      <alignment horizontal="center" vertical="center" wrapText="1"/>
      <protection locked="0"/>
    </xf>
    <xf numFmtId="2" fontId="7" fillId="3" borderId="1" xfId="0" applyNumberFormat="1" applyFont="1" applyFill="1" applyBorder="1" applyAlignment="1">
      <alignment horizontal="left" vertical="center"/>
    </xf>
    <xf numFmtId="49" fontId="16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1" xfId="2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 applyProtection="1">
      <alignment horizontal="left" vertical="top" wrapText="1"/>
      <protection locked="0"/>
    </xf>
    <xf numFmtId="49" fontId="15" fillId="3" borderId="27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1" xfId="1" applyNumberFormat="1" applyFont="1" applyFill="1" applyBorder="1" applyAlignment="1">
      <alignment horizontal="left" vertical="center"/>
    </xf>
    <xf numFmtId="2" fontId="7" fillId="3" borderId="15" xfId="0" applyNumberFormat="1" applyFont="1" applyFill="1" applyBorder="1" applyAlignment="1">
      <alignment horizontal="left" vertical="center" wrapText="1"/>
    </xf>
    <xf numFmtId="2" fontId="7" fillId="3" borderId="15" xfId="0" applyNumberFormat="1" applyFont="1" applyFill="1" applyBorder="1" applyAlignment="1">
      <alignment horizontal="left" vertical="center"/>
    </xf>
    <xf numFmtId="49" fontId="6" fillId="3" borderId="26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left"/>
      <protection locked="0"/>
    </xf>
    <xf numFmtId="0" fontId="6" fillId="4" borderId="2" xfId="0" applyFont="1" applyFill="1" applyBorder="1" applyAlignment="1">
      <alignment horizontal="left" vertical="top" wrapText="1"/>
    </xf>
    <xf numFmtId="2" fontId="11" fillId="4" borderId="11" xfId="0" applyNumberFormat="1" applyFont="1" applyFill="1" applyBorder="1" applyAlignment="1">
      <alignment horizontal="left" vertical="top" wrapText="1"/>
    </xf>
    <xf numFmtId="49" fontId="11" fillId="4" borderId="28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horizontal="left" vertical="center"/>
    </xf>
    <xf numFmtId="49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1" xfId="0" applyNumberFormat="1" applyFont="1" applyFill="1" applyBorder="1" applyAlignment="1">
      <alignment horizontal="center" vertical="center"/>
    </xf>
    <xf numFmtId="2" fontId="16" fillId="3" borderId="1" xfId="0" applyNumberFormat="1" applyFont="1" applyFill="1" applyBorder="1" applyAlignment="1" applyProtection="1">
      <alignment horizontal="left" vertical="top" wrapText="1"/>
      <protection locked="0"/>
    </xf>
    <xf numFmtId="49" fontId="7" fillId="3" borderId="23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 applyProtection="1">
      <alignment horizontal="left" vertical="top" wrapText="1"/>
      <protection locked="0"/>
    </xf>
    <xf numFmtId="0" fontId="6" fillId="3" borderId="24" xfId="0" applyFont="1" applyFill="1" applyBorder="1" applyAlignment="1">
      <alignment horizontal="left"/>
    </xf>
    <xf numFmtId="2" fontId="8" fillId="3" borderId="2" xfId="0" applyNumberFormat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vertical="center" wrapText="1"/>
    </xf>
    <xf numFmtId="0" fontId="6" fillId="3" borderId="24" xfId="0" applyFont="1" applyFill="1" applyBorder="1" applyAlignment="1" applyProtection="1">
      <alignment horizontal="left"/>
      <protection locked="0"/>
    </xf>
    <xf numFmtId="0" fontId="6" fillId="3" borderId="2" xfId="0" applyFont="1" applyFill="1" applyBorder="1" applyAlignment="1" applyProtection="1">
      <alignment horizontal="left" vertical="top" wrapText="1"/>
      <protection locked="0"/>
    </xf>
    <xf numFmtId="2" fontId="15" fillId="3" borderId="2" xfId="0" applyNumberFormat="1" applyFont="1" applyFill="1" applyBorder="1" applyAlignment="1" applyProtection="1">
      <alignment horizontal="left" vertical="top" wrapText="1"/>
      <protection locked="0"/>
    </xf>
    <xf numFmtId="2" fontId="6" fillId="0" borderId="1" xfId="1" applyNumberFormat="1" applyFont="1" applyFill="1" applyBorder="1" applyAlignment="1">
      <alignment vertical="center" wrapText="1"/>
    </xf>
    <xf numFmtId="0" fontId="16" fillId="4" borderId="2" xfId="0" applyFont="1" applyFill="1" applyBorder="1" applyAlignment="1">
      <alignment horizontal="left" vertical="top" wrapText="1"/>
    </xf>
    <xf numFmtId="2" fontId="15" fillId="4" borderId="2" xfId="0" applyNumberFormat="1" applyFont="1" applyFill="1" applyBorder="1" applyAlignment="1">
      <alignment horizontal="left" vertical="top" wrapText="1"/>
    </xf>
    <xf numFmtId="49" fontId="15" fillId="4" borderId="27" xfId="0" applyNumberFormat="1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left" vertical="top" wrapText="1"/>
    </xf>
    <xf numFmtId="2" fontId="15" fillId="4" borderId="15" xfId="0" applyNumberFormat="1" applyFont="1" applyFill="1" applyBorder="1" applyAlignment="1">
      <alignment horizontal="left" vertical="top" wrapText="1"/>
    </xf>
    <xf numFmtId="49" fontId="15" fillId="4" borderId="15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Fill="1" applyBorder="1" applyAlignment="1" applyProtection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49" fontId="16" fillId="3" borderId="0" xfId="0" applyNumberFormat="1" applyFont="1" applyFill="1" applyAlignment="1">
      <alignment horizontal="center" vertical="center"/>
    </xf>
    <xf numFmtId="49" fontId="16" fillId="3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49" fontId="16" fillId="0" borderId="0" xfId="0" applyNumberFormat="1" applyFont="1" applyBorder="1" applyAlignment="1">
      <alignment horizontal="center" vertical="center"/>
    </xf>
    <xf numFmtId="1" fontId="16" fillId="2" borderId="2" xfId="0" applyNumberFormat="1" applyFont="1" applyFill="1" applyBorder="1" applyAlignment="1" applyProtection="1">
      <alignment horizontal="left"/>
      <protection locked="0"/>
    </xf>
    <xf numFmtId="1" fontId="16" fillId="2" borderId="1" xfId="0" applyNumberFormat="1" applyFont="1" applyFill="1" applyBorder="1" applyAlignment="1" applyProtection="1">
      <alignment horizontal="left"/>
      <protection locked="0"/>
    </xf>
    <xf numFmtId="0" fontId="21" fillId="0" borderId="0" xfId="0" applyFont="1" applyAlignment="1">
      <alignment horizontal="left" vertical="top"/>
    </xf>
    <xf numFmtId="0" fontId="16" fillId="3" borderId="0" xfId="0" applyFont="1" applyFill="1" applyBorder="1" applyAlignment="1">
      <alignment horizontal="left"/>
    </xf>
    <xf numFmtId="0" fontId="16" fillId="0" borderId="0" xfId="0" applyFont="1" applyBorder="1" applyAlignment="1">
      <alignment horizontal="left"/>
    </xf>
    <xf numFmtId="2" fontId="6" fillId="3" borderId="1" xfId="0" applyNumberFormat="1" applyFont="1" applyFill="1" applyBorder="1" applyAlignment="1" applyProtection="1">
      <alignment horizontal="left" vertical="center" wrapText="1"/>
      <protection locked="0"/>
    </xf>
    <xf numFmtId="2" fontId="16" fillId="0" borderId="0" xfId="0" applyNumberFormat="1" applyFont="1" applyAlignment="1">
      <alignment horizontal="center" vertical="center"/>
    </xf>
    <xf numFmtId="2" fontId="22" fillId="0" borderId="4" xfId="0" applyNumberFormat="1" applyFont="1" applyBorder="1" applyAlignment="1">
      <alignment horizontal="center" vertical="center" wrapText="1"/>
    </xf>
    <xf numFmtId="2" fontId="15" fillId="5" borderId="8" xfId="0" applyNumberFormat="1" applyFont="1" applyFill="1" applyBorder="1" applyAlignment="1" applyProtection="1">
      <alignment horizontal="center" vertical="center" wrapText="1"/>
      <protection locked="0"/>
    </xf>
    <xf numFmtId="2" fontId="15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25" xfId="0" applyNumberFormat="1" applyFont="1" applyFill="1" applyBorder="1" applyAlignment="1" applyProtection="1">
      <alignment horizontal="center" vertical="center" wrapText="1"/>
      <protection locked="0"/>
    </xf>
    <xf numFmtId="2" fontId="15" fillId="4" borderId="1" xfId="0" applyNumberFormat="1" applyFont="1" applyFill="1" applyBorder="1" applyAlignment="1">
      <alignment horizontal="center" vertical="center" wrapText="1"/>
    </xf>
    <xf numFmtId="2" fontId="15" fillId="4" borderId="17" xfId="0" applyNumberFormat="1" applyFont="1" applyFill="1" applyBorder="1" applyAlignment="1">
      <alignment horizontal="center" vertical="center" wrapText="1"/>
    </xf>
    <xf numFmtId="2" fontId="15" fillId="5" borderId="21" xfId="0" applyNumberFormat="1" applyFont="1" applyFill="1" applyBorder="1" applyAlignment="1" applyProtection="1">
      <alignment horizontal="center" vertical="center" wrapText="1"/>
      <protection locked="0"/>
    </xf>
    <xf numFmtId="2" fontId="15" fillId="5" borderId="22" xfId="0" applyNumberFormat="1" applyFont="1" applyFill="1" applyBorder="1" applyAlignment="1" applyProtection="1">
      <alignment horizontal="center" vertical="center" wrapText="1"/>
      <protection locked="0"/>
    </xf>
    <xf numFmtId="2" fontId="15" fillId="5" borderId="29" xfId="0" applyNumberFormat="1" applyFont="1" applyFill="1" applyBorder="1" applyAlignment="1" applyProtection="1">
      <alignment horizontal="center" vertical="center" wrapText="1"/>
      <protection locked="0"/>
    </xf>
    <xf numFmtId="2" fontId="15" fillId="5" borderId="25" xfId="0" applyNumberFormat="1" applyFont="1" applyFill="1" applyBorder="1" applyAlignment="1" applyProtection="1">
      <alignment horizontal="center" vertical="center" wrapText="1"/>
      <protection locked="0"/>
    </xf>
    <xf numFmtId="2" fontId="8" fillId="5" borderId="1" xfId="0" applyNumberFormat="1" applyFont="1" applyFill="1" applyBorder="1" applyAlignment="1">
      <alignment horizontal="center" vertical="center"/>
    </xf>
    <xf numFmtId="2" fontId="15" fillId="3" borderId="4" xfId="0" applyNumberFormat="1" applyFont="1" applyFill="1" applyBorder="1" applyAlignment="1">
      <alignment horizontal="center" vertical="center"/>
    </xf>
    <xf numFmtId="2" fontId="16" fillId="3" borderId="0" xfId="0" applyNumberFormat="1" applyFont="1" applyFill="1" applyAlignment="1">
      <alignment horizontal="center" vertical="center"/>
    </xf>
    <xf numFmtId="2" fontId="16" fillId="3" borderId="0" xfId="0" applyNumberFormat="1" applyFont="1" applyFill="1" applyBorder="1" applyAlignment="1">
      <alignment horizontal="center" vertical="center"/>
    </xf>
    <xf numFmtId="2" fontId="15" fillId="3" borderId="0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0" xfId="0" applyNumberFormat="1" applyFont="1" applyBorder="1" applyAlignment="1">
      <alignment horizontal="center" vertical="center"/>
    </xf>
    <xf numFmtId="2" fontId="6" fillId="4" borderId="12" xfId="0" applyNumberFormat="1" applyFont="1" applyFill="1" applyBorder="1" applyAlignment="1">
      <alignment horizontal="center"/>
    </xf>
    <xf numFmtId="2" fontId="6" fillId="4" borderId="13" xfId="0" applyNumberFormat="1" applyFont="1" applyFill="1" applyBorder="1" applyAlignment="1">
      <alignment horizontal="center"/>
    </xf>
    <xf numFmtId="2" fontId="6" fillId="4" borderId="2" xfId="0" applyNumberFormat="1" applyFont="1" applyFill="1" applyBorder="1" applyAlignment="1">
      <alignment horizontal="left"/>
    </xf>
    <xf numFmtId="2" fontId="9" fillId="4" borderId="1" xfId="0" applyNumberFormat="1" applyFont="1" applyFill="1" applyBorder="1" applyAlignment="1" applyProtection="1">
      <alignment horizontal="left"/>
      <protection locked="0"/>
    </xf>
    <xf numFmtId="2" fontId="16" fillId="4" borderId="1" xfId="0" applyNumberFormat="1" applyFont="1" applyFill="1" applyBorder="1" applyAlignment="1">
      <alignment horizontal="left" vertical="top" wrapText="1"/>
    </xf>
    <xf numFmtId="2" fontId="15" fillId="4" borderId="22" xfId="0" applyNumberFormat="1" applyFont="1" applyFill="1" applyBorder="1" applyAlignment="1">
      <alignment horizontal="center" vertical="center" wrapText="1"/>
    </xf>
    <xf numFmtId="2" fontId="16" fillId="3" borderId="0" xfId="0" applyNumberFormat="1" applyFont="1" applyFill="1"/>
    <xf numFmtId="2" fontId="16" fillId="0" borderId="0" xfId="0" applyNumberFormat="1" applyFont="1"/>
    <xf numFmtId="2" fontId="6" fillId="4" borderId="16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/>
    </xf>
    <xf numFmtId="2" fontId="16" fillId="4" borderId="17" xfId="0" applyNumberFormat="1" applyFont="1" applyFill="1" applyBorder="1" applyAlignment="1">
      <alignment horizontal="left" vertical="top" wrapText="1"/>
    </xf>
    <xf numFmtId="0" fontId="16" fillId="2" borderId="1" xfId="0" applyFont="1" applyFill="1" applyBorder="1" applyAlignment="1" applyProtection="1">
      <alignment wrapText="1"/>
      <protection locked="0"/>
    </xf>
    <xf numFmtId="0" fontId="17" fillId="0" borderId="1" xfId="0" applyFont="1" applyBorder="1" applyAlignment="1" applyProtection="1">
      <alignment wrapText="1"/>
      <protection locked="0"/>
    </xf>
    <xf numFmtId="0" fontId="16" fillId="2" borderId="24" xfId="0" applyFont="1" applyFill="1" applyBorder="1" applyAlignment="1" applyProtection="1">
      <alignment horizontal="left" wrapText="1"/>
      <protection locked="0"/>
    </xf>
    <xf numFmtId="0" fontId="16" fillId="2" borderId="23" xfId="0" applyFont="1" applyFill="1" applyBorder="1" applyAlignment="1" applyProtection="1">
      <alignment horizontal="left" wrapText="1"/>
      <protection locked="0"/>
    </xf>
    <xf numFmtId="0" fontId="16" fillId="2" borderId="25" xfId="0" applyFont="1" applyFill="1" applyBorder="1" applyAlignment="1" applyProtection="1">
      <alignment horizontal="left" wrapText="1"/>
      <protection locked="0"/>
    </xf>
    <xf numFmtId="0" fontId="16" fillId="2" borderId="1" xfId="0" applyFont="1" applyFill="1" applyBorder="1" applyAlignment="1" applyProtection="1">
      <alignment horizontal="left" wrapText="1"/>
      <protection locked="0"/>
    </xf>
    <xf numFmtId="2" fontId="10" fillId="4" borderId="18" xfId="0" applyNumberFormat="1" applyFont="1" applyFill="1" applyBorder="1" applyAlignment="1">
      <alignment horizontal="left" vertical="center" wrapText="1"/>
    </xf>
    <xf numFmtId="2" fontId="11" fillId="4" borderId="19" xfId="0" applyNumberFormat="1" applyFont="1" applyFill="1" applyBorder="1" applyAlignment="1">
      <alignment horizontal="left" vertical="center" wrapText="1"/>
    </xf>
    <xf numFmtId="0" fontId="10" fillId="4" borderId="18" xfId="0" applyFont="1" applyFill="1" applyBorder="1" applyAlignment="1">
      <alignment horizontal="left" vertical="center" wrapText="1"/>
    </xf>
    <xf numFmtId="0" fontId="11" fillId="4" borderId="19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7" fillId="0" borderId="0" xfId="0" applyFont="1" applyAlignment="1"/>
    <xf numFmtId="0" fontId="11" fillId="4" borderId="30" xfId="0" applyFont="1" applyFill="1" applyBorder="1" applyAlignment="1">
      <alignment horizontal="left" vertical="center" wrapText="1"/>
    </xf>
    <xf numFmtId="0" fontId="22" fillId="4" borderId="18" xfId="0" applyFont="1" applyFill="1" applyBorder="1" applyAlignment="1">
      <alignment horizontal="left" vertical="center" wrapText="1"/>
    </xf>
    <xf numFmtId="0" fontId="24" fillId="4" borderId="19" xfId="0" applyFont="1" applyFill="1" applyBorder="1" applyAlignment="1">
      <alignment horizontal="left" vertical="center" wrapText="1"/>
    </xf>
    <xf numFmtId="0" fontId="22" fillId="3" borderId="4" xfId="0" applyFont="1" applyFill="1" applyBorder="1" applyAlignment="1">
      <alignment horizontal="center" vertical="center" wrapText="1"/>
    </xf>
  </cellXfs>
  <cellStyles count="10">
    <cellStyle name="Обычный" xfId="0" builtinId="0"/>
    <cellStyle name="Обычный 2" xfId="1"/>
    <cellStyle name="Обычный 2 2" xfId="3"/>
    <cellStyle name="Обычный 3" xfId="4"/>
    <cellStyle name="Обычный 3 2" xfId="5"/>
    <cellStyle name="Обычный 3 3" xfId="6"/>
    <cellStyle name="Обычный 3 4" xfId="7"/>
    <cellStyle name="Обычный 3 5" xfId="8"/>
    <cellStyle name="Обычный 3 6" xfId="9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3"/>
  <sheetViews>
    <sheetView tabSelected="1" zoomScale="85" zoomScaleNormal="85" workbookViewId="0">
      <selection activeCell="E179" sqref="E179"/>
    </sheetView>
  </sheetViews>
  <sheetFormatPr defaultColWidth="4.7109375" defaultRowHeight="15"/>
  <cols>
    <col min="1" max="1" width="3.5703125" style="43" customWidth="1"/>
    <col min="2" max="2" width="4" style="43" customWidth="1"/>
    <col min="3" max="3" width="8.85546875" style="42" customWidth="1"/>
    <col min="4" max="4" width="15.42578125" style="42" customWidth="1"/>
    <col min="5" max="5" width="30.140625" style="76" customWidth="1"/>
    <col min="6" max="6" width="13.42578125" style="42" customWidth="1"/>
    <col min="7" max="7" width="8.5703125" style="42" customWidth="1"/>
    <col min="8" max="8" width="11.140625" style="42" customWidth="1"/>
    <col min="9" max="9" width="9.85546875" style="42" customWidth="1"/>
    <col min="10" max="10" width="11.7109375" style="42" customWidth="1"/>
    <col min="11" max="11" width="8.7109375" style="122" customWidth="1"/>
    <col min="12" max="12" width="12.140625" style="133" customWidth="1"/>
    <col min="13" max="16384" width="4.7109375" style="43"/>
  </cols>
  <sheetData>
    <row r="1" spans="1:14" ht="15.75">
      <c r="A1" s="42" t="s">
        <v>0</v>
      </c>
      <c r="C1" s="162"/>
      <c r="D1" s="163"/>
      <c r="E1" s="163"/>
      <c r="F1" s="42" t="s">
        <v>1</v>
      </c>
      <c r="G1" s="42" t="s">
        <v>2</v>
      </c>
      <c r="H1" s="164" t="s">
        <v>84</v>
      </c>
      <c r="I1" s="165"/>
      <c r="J1" s="165"/>
      <c r="K1" s="166"/>
    </row>
    <row r="2" spans="1:14" ht="16.5">
      <c r="A2" s="172" t="s">
        <v>3</v>
      </c>
      <c r="B2" s="173"/>
      <c r="C2" s="173"/>
      <c r="D2" s="173"/>
      <c r="E2" s="173"/>
      <c r="F2" s="173"/>
      <c r="G2" s="42" t="s">
        <v>4</v>
      </c>
      <c r="H2" s="167" t="s">
        <v>85</v>
      </c>
      <c r="I2" s="167"/>
      <c r="J2" s="167"/>
      <c r="K2" s="167"/>
    </row>
    <row r="3" spans="1:14">
      <c r="A3" s="44" t="s">
        <v>5</v>
      </c>
      <c r="C3" s="43"/>
      <c r="D3" s="45"/>
      <c r="E3" s="75" t="s">
        <v>140</v>
      </c>
      <c r="G3" s="42" t="s">
        <v>6</v>
      </c>
      <c r="H3" s="127">
        <v>1</v>
      </c>
      <c r="I3" s="127">
        <v>1</v>
      </c>
      <c r="J3" s="128">
        <v>2026</v>
      </c>
      <c r="K3" s="121"/>
    </row>
    <row r="4" spans="1:14" ht="15.75" thickBot="1">
      <c r="C4" s="43"/>
      <c r="D4" s="44"/>
      <c r="H4" s="129" t="s">
        <v>7</v>
      </c>
      <c r="I4" s="129" t="s">
        <v>8</v>
      </c>
      <c r="J4" s="129" t="s">
        <v>9</v>
      </c>
    </row>
    <row r="5" spans="1:14" ht="111" thickBot="1">
      <c r="A5" s="46" t="s">
        <v>10</v>
      </c>
      <c r="B5" s="47" t="s">
        <v>11</v>
      </c>
      <c r="C5" s="48" t="s">
        <v>12</v>
      </c>
      <c r="D5" s="48" t="s">
        <v>13</v>
      </c>
      <c r="E5" s="77" t="s">
        <v>14</v>
      </c>
      <c r="F5" s="77" t="s">
        <v>15</v>
      </c>
      <c r="G5" s="77" t="s">
        <v>16</v>
      </c>
      <c r="H5" s="77" t="s">
        <v>130</v>
      </c>
      <c r="I5" s="77" t="s">
        <v>17</v>
      </c>
      <c r="J5" s="77" t="s">
        <v>18</v>
      </c>
      <c r="K5" s="49" t="s">
        <v>19</v>
      </c>
      <c r="L5" s="134" t="s">
        <v>20</v>
      </c>
    </row>
    <row r="6" spans="1:14" ht="31.5">
      <c r="A6" s="1">
        <v>1</v>
      </c>
      <c r="B6" s="2">
        <v>1</v>
      </c>
      <c r="C6" s="25" t="s">
        <v>21</v>
      </c>
      <c r="D6" s="26" t="s">
        <v>22</v>
      </c>
      <c r="E6" s="40" t="s">
        <v>57</v>
      </c>
      <c r="F6" s="84">
        <v>200</v>
      </c>
      <c r="G6" s="85">
        <f>F6*7.5/200</f>
        <v>7.5</v>
      </c>
      <c r="H6" s="85">
        <f>F6*11.4/200</f>
        <v>11.4</v>
      </c>
      <c r="I6" s="85">
        <f>31.3*F6/200</f>
        <v>31.3</v>
      </c>
      <c r="J6" s="85">
        <f>257.8*F6/200</f>
        <v>257.8</v>
      </c>
      <c r="K6" s="86" t="s">
        <v>90</v>
      </c>
      <c r="L6" s="135">
        <v>32.96</v>
      </c>
      <c r="M6" s="50"/>
    </row>
    <row r="7" spans="1:14" ht="15.75">
      <c r="A7" s="3"/>
      <c r="B7" s="4"/>
      <c r="C7" s="27"/>
      <c r="D7" s="29" t="s">
        <v>59</v>
      </c>
      <c r="E7" s="40" t="s">
        <v>77</v>
      </c>
      <c r="F7" s="87"/>
      <c r="G7" s="87">
        <v>0.4</v>
      </c>
      <c r="H7" s="87">
        <v>0.4</v>
      </c>
      <c r="I7" s="87">
        <v>10.95</v>
      </c>
      <c r="J7" s="87">
        <v>49</v>
      </c>
      <c r="K7" s="88" t="s">
        <v>25</v>
      </c>
      <c r="L7" s="136">
        <v>31.48</v>
      </c>
      <c r="M7" s="50"/>
    </row>
    <row r="8" spans="1:14" ht="31.5">
      <c r="A8" s="3"/>
      <c r="B8" s="4"/>
      <c r="C8" s="27"/>
      <c r="D8" s="28" t="s">
        <v>23</v>
      </c>
      <c r="E8" s="40" t="s">
        <v>24</v>
      </c>
      <c r="F8" s="84">
        <v>200</v>
      </c>
      <c r="G8" s="84">
        <f>3.1*F8/200</f>
        <v>3.1</v>
      </c>
      <c r="H8" s="84">
        <f>3.2*F8/200</f>
        <v>3.2</v>
      </c>
      <c r="I8" s="84">
        <f>14.4*F8/200</f>
        <v>14.4</v>
      </c>
      <c r="J8" s="84">
        <f>99*F8/200</f>
        <v>99</v>
      </c>
      <c r="K8" s="88" t="s">
        <v>58</v>
      </c>
      <c r="L8" s="136">
        <v>22.02</v>
      </c>
      <c r="M8" s="50"/>
    </row>
    <row r="9" spans="1:14" ht="15.75">
      <c r="A9" s="3"/>
      <c r="B9" s="4"/>
      <c r="C9" s="27"/>
      <c r="D9" s="28" t="s">
        <v>35</v>
      </c>
      <c r="E9" s="40" t="s">
        <v>26</v>
      </c>
      <c r="F9" s="84">
        <v>60</v>
      </c>
      <c r="G9" s="84">
        <f>F9*6.1/50</f>
        <v>7.32</v>
      </c>
      <c r="H9" s="84">
        <f>F9*3.7/50</f>
        <v>4.4400000000000004</v>
      </c>
      <c r="I9" s="84">
        <f>F9*17.5/50</f>
        <v>21</v>
      </c>
      <c r="J9" s="84">
        <f>F9*127.7/50</f>
        <v>153.24</v>
      </c>
      <c r="K9" s="88" t="s">
        <v>91</v>
      </c>
      <c r="L9" s="136">
        <v>41.69</v>
      </c>
      <c r="M9" s="50"/>
    </row>
    <row r="10" spans="1:14" ht="15.75">
      <c r="A10" s="3"/>
      <c r="B10" s="4"/>
      <c r="C10" s="27"/>
      <c r="D10" s="32" t="s">
        <v>37</v>
      </c>
      <c r="E10" s="94" t="s">
        <v>128</v>
      </c>
      <c r="F10" s="95">
        <v>50</v>
      </c>
      <c r="G10" s="95">
        <f>1.68*F10/30</f>
        <v>2.8</v>
      </c>
      <c r="H10" s="95">
        <f>0.33*F10/30</f>
        <v>0.55000000000000004</v>
      </c>
      <c r="I10" s="95">
        <f>14.82*F10/30</f>
        <v>24.7</v>
      </c>
      <c r="J10" s="95">
        <f>68.97*F10/30</f>
        <v>114.95</v>
      </c>
      <c r="K10" s="96" t="s">
        <v>25</v>
      </c>
      <c r="L10" s="137">
        <v>5.92</v>
      </c>
      <c r="M10" s="50"/>
    </row>
    <row r="11" spans="1:14" ht="15.75">
      <c r="A11" s="3"/>
      <c r="B11" s="4"/>
      <c r="C11" s="27"/>
      <c r="D11" s="29"/>
      <c r="E11" s="101" t="s">
        <v>139</v>
      </c>
      <c r="F11" s="102">
        <v>40</v>
      </c>
      <c r="G11" s="102">
        <f>F11*5.1/40</f>
        <v>5.0999999999999996</v>
      </c>
      <c r="H11" s="102">
        <f>F11*4.68/40</f>
        <v>4.68</v>
      </c>
      <c r="I11" s="102">
        <f>F11*0.3/40</f>
        <v>0.3</v>
      </c>
      <c r="J11" s="102">
        <f>F11*63/40</f>
        <v>63</v>
      </c>
      <c r="K11" s="103" t="s">
        <v>141</v>
      </c>
      <c r="L11" s="138">
        <v>13.76</v>
      </c>
      <c r="M11" s="50"/>
    </row>
    <row r="12" spans="1:14" ht="15.75">
      <c r="A12" s="21"/>
      <c r="B12" s="22"/>
      <c r="C12" s="30"/>
      <c r="D12" s="97" t="s">
        <v>27</v>
      </c>
      <c r="E12" s="98"/>
      <c r="F12" s="99">
        <f>SUM(F6:F11)</f>
        <v>550</v>
      </c>
      <c r="G12" s="99">
        <f>SUM(G6:G11)</f>
        <v>26.22</v>
      </c>
      <c r="H12" s="99">
        <f>SUM(H6:H11)</f>
        <v>24.67</v>
      </c>
      <c r="I12" s="99">
        <f>SUM(I6:I11)</f>
        <v>102.65</v>
      </c>
      <c r="J12" s="99">
        <f>SUM(J6:J11)</f>
        <v>736.99</v>
      </c>
      <c r="K12" s="100"/>
      <c r="L12" s="139">
        <f>SUM(L6:L11)-0.01</f>
        <v>147.81999999999996</v>
      </c>
      <c r="M12" s="50"/>
    </row>
    <row r="13" spans="1:14" ht="31.5">
      <c r="A13" s="5">
        <f>A6</f>
        <v>1</v>
      </c>
      <c r="B13" s="6">
        <f>B6</f>
        <v>1</v>
      </c>
      <c r="C13" s="32" t="s">
        <v>28</v>
      </c>
      <c r="D13" s="28" t="s">
        <v>29</v>
      </c>
      <c r="E13" s="55" t="s">
        <v>136</v>
      </c>
      <c r="F13" s="87">
        <v>100</v>
      </c>
      <c r="G13" s="93">
        <f>F13*1/100</f>
        <v>1</v>
      </c>
      <c r="H13" s="93">
        <f>F13*10/100</f>
        <v>10</v>
      </c>
      <c r="I13" s="93">
        <f>F13*7.9/100</f>
        <v>7.9</v>
      </c>
      <c r="J13" s="93">
        <f>F13*125.73/100</f>
        <v>125.73</v>
      </c>
      <c r="K13" s="90" t="s">
        <v>78</v>
      </c>
      <c r="L13" s="136">
        <v>21.42</v>
      </c>
      <c r="M13" s="50"/>
    </row>
    <row r="14" spans="1:14" ht="31.5">
      <c r="A14" s="3"/>
      <c r="B14" s="4"/>
      <c r="C14" s="27"/>
      <c r="D14" s="28" t="s">
        <v>30</v>
      </c>
      <c r="E14" s="40" t="s">
        <v>142</v>
      </c>
      <c r="F14" s="84">
        <v>250</v>
      </c>
      <c r="G14" s="93">
        <f>F14*7.4/250</f>
        <v>7.4</v>
      </c>
      <c r="H14" s="93">
        <f>F14*7.33/250</f>
        <v>7.33</v>
      </c>
      <c r="I14" s="93">
        <f>F14*21.35/250</f>
        <v>21.35</v>
      </c>
      <c r="J14" s="93">
        <f>F14*181.85/250</f>
        <v>181.85</v>
      </c>
      <c r="K14" s="90" t="s">
        <v>143</v>
      </c>
      <c r="L14" s="136">
        <v>22.42</v>
      </c>
      <c r="M14" s="50"/>
    </row>
    <row r="15" spans="1:14" ht="15.75">
      <c r="A15" s="3"/>
      <c r="B15" s="4"/>
      <c r="C15" s="27"/>
      <c r="D15" s="28" t="s">
        <v>31</v>
      </c>
      <c r="E15" s="39" t="s">
        <v>47</v>
      </c>
      <c r="F15" s="87">
        <v>100</v>
      </c>
      <c r="G15" s="93">
        <f>F15*15.6/100</f>
        <v>15.6</v>
      </c>
      <c r="H15" s="93">
        <f>F15*19.4/100</f>
        <v>19.399999999999999</v>
      </c>
      <c r="I15" s="93">
        <f>F15*15.9/100</f>
        <v>15.9</v>
      </c>
      <c r="J15" s="93">
        <f>F15*300.96/100</f>
        <v>300.95999999999998</v>
      </c>
      <c r="K15" s="90" t="s">
        <v>48</v>
      </c>
      <c r="L15" s="136">
        <v>86.86</v>
      </c>
      <c r="M15" s="56"/>
      <c r="N15" s="56"/>
    </row>
    <row r="16" spans="1:14" ht="15.75">
      <c r="A16" s="3"/>
      <c r="B16" s="4"/>
      <c r="C16" s="27"/>
      <c r="D16" s="28" t="s">
        <v>32</v>
      </c>
      <c r="E16" s="40" t="s">
        <v>33</v>
      </c>
      <c r="F16" s="84">
        <v>180</v>
      </c>
      <c r="G16" s="93">
        <f>F16*7.1/200</f>
        <v>6.39</v>
      </c>
      <c r="H16" s="93">
        <f>F16*4/200</f>
        <v>3.6</v>
      </c>
      <c r="I16" s="93">
        <f>F16*43.2/200</f>
        <v>38.880000000000003</v>
      </c>
      <c r="J16" s="93">
        <f>F16*237/200</f>
        <v>213.3</v>
      </c>
      <c r="K16" s="90" t="s">
        <v>144</v>
      </c>
      <c r="L16" s="136">
        <v>11.21</v>
      </c>
      <c r="M16" s="50"/>
    </row>
    <row r="17" spans="1:13" ht="15.75">
      <c r="A17" s="3"/>
      <c r="B17" s="4"/>
      <c r="C17" s="27"/>
      <c r="D17" s="28" t="s">
        <v>87</v>
      </c>
      <c r="E17" s="40" t="s">
        <v>34</v>
      </c>
      <c r="F17" s="84">
        <v>200</v>
      </c>
      <c r="G17" s="93">
        <f>F17*0.4/200</f>
        <v>0.4</v>
      </c>
      <c r="H17" s="93">
        <f>F17*0.2/200</f>
        <v>0.2</v>
      </c>
      <c r="I17" s="93">
        <f>F17*16.1/200</f>
        <v>16.100000000000001</v>
      </c>
      <c r="J17" s="93">
        <f>F17*68/200</f>
        <v>68</v>
      </c>
      <c r="K17" s="90" t="s">
        <v>145</v>
      </c>
      <c r="L17" s="136">
        <v>17.399999999999999</v>
      </c>
      <c r="M17" s="50"/>
    </row>
    <row r="18" spans="1:13" ht="31.5">
      <c r="A18" s="3"/>
      <c r="B18" s="4"/>
      <c r="C18" s="27"/>
      <c r="D18" s="28" t="s">
        <v>35</v>
      </c>
      <c r="E18" s="11" t="s">
        <v>36</v>
      </c>
      <c r="F18" s="87">
        <v>30</v>
      </c>
      <c r="G18" s="93">
        <f>F18*2.37/30</f>
        <v>2.37</v>
      </c>
      <c r="H18" s="93">
        <f>F18*0.3/30</f>
        <v>0.3</v>
      </c>
      <c r="I18" s="93">
        <f>F18*14.49/30</f>
        <v>14.49</v>
      </c>
      <c r="J18" s="93">
        <f>F18*70.14/30</f>
        <v>70.14</v>
      </c>
      <c r="K18" s="90" t="s">
        <v>25</v>
      </c>
      <c r="L18" s="136">
        <v>3.84</v>
      </c>
      <c r="M18" s="50"/>
    </row>
    <row r="19" spans="1:13" ht="15.75">
      <c r="A19" s="3"/>
      <c r="B19" s="4"/>
      <c r="C19" s="27"/>
      <c r="D19" s="28" t="s">
        <v>37</v>
      </c>
      <c r="E19" s="40" t="s">
        <v>128</v>
      </c>
      <c r="F19" s="87">
        <v>33</v>
      </c>
      <c r="G19" s="93">
        <f>F19*1.68/30</f>
        <v>1.8479999999999999</v>
      </c>
      <c r="H19" s="93">
        <f>F19*0.33/30</f>
        <v>0.36300000000000004</v>
      </c>
      <c r="I19" s="93">
        <f>F19*14.82/30</f>
        <v>16.302</v>
      </c>
      <c r="J19" s="93">
        <f>F19*68.97/30</f>
        <v>75.86699999999999</v>
      </c>
      <c r="K19" s="90" t="s">
        <v>25</v>
      </c>
      <c r="L19" s="136">
        <v>3.9</v>
      </c>
      <c r="M19" s="50"/>
    </row>
    <row r="20" spans="1:13" ht="15.75">
      <c r="A20" s="3"/>
      <c r="B20" s="4"/>
      <c r="C20" s="27"/>
      <c r="D20" s="29"/>
      <c r="E20" s="51"/>
      <c r="F20" s="91"/>
      <c r="G20" s="91"/>
      <c r="H20" s="91"/>
      <c r="I20" s="91"/>
      <c r="J20" s="91"/>
      <c r="K20" s="92"/>
      <c r="L20" s="136"/>
      <c r="M20" s="50"/>
    </row>
    <row r="21" spans="1:13" ht="15.75">
      <c r="A21" s="3"/>
      <c r="B21" s="4"/>
      <c r="C21" s="27"/>
      <c r="D21" s="29"/>
      <c r="E21" s="51"/>
      <c r="F21" s="52"/>
      <c r="G21" s="52"/>
      <c r="H21" s="52"/>
      <c r="I21" s="52"/>
      <c r="J21" s="52"/>
      <c r="K21" s="41"/>
      <c r="L21" s="136"/>
      <c r="M21" s="50"/>
    </row>
    <row r="22" spans="1:13" s="158" customFormat="1" ht="15.75">
      <c r="A22" s="151"/>
      <c r="B22" s="152"/>
      <c r="C22" s="153"/>
      <c r="D22" s="154" t="s">
        <v>27</v>
      </c>
      <c r="E22" s="155"/>
      <c r="F22" s="54">
        <f>SUM(F13:F21)</f>
        <v>893</v>
      </c>
      <c r="G22" s="54">
        <f>SUM(G13:G21)</f>
        <v>35.007999999999996</v>
      </c>
      <c r="H22" s="54">
        <f t="shared" ref="H22:J22" si="0">SUM(H13:H21)</f>
        <v>41.192999999999998</v>
      </c>
      <c r="I22" s="54">
        <f t="shared" si="0"/>
        <v>130.922</v>
      </c>
      <c r="J22" s="54">
        <f t="shared" si="0"/>
        <v>1035.847</v>
      </c>
      <c r="K22" s="156"/>
      <c r="L22" s="139">
        <f>L13+L14+L15+L16+L17+L18+L19+L20</f>
        <v>167.05</v>
      </c>
      <c r="M22" s="157"/>
    </row>
    <row r="23" spans="1:13" s="158" customFormat="1" ht="16.5" thickBot="1">
      <c r="A23" s="159">
        <f>A6</f>
        <v>1</v>
      </c>
      <c r="B23" s="160">
        <f>B6</f>
        <v>1</v>
      </c>
      <c r="C23" s="168" t="s">
        <v>38</v>
      </c>
      <c r="D23" s="169"/>
      <c r="E23" s="161"/>
      <c r="F23" s="59">
        <f>F12+F22</f>
        <v>1443</v>
      </c>
      <c r="G23" s="59">
        <f t="shared" ref="G23:J23" si="1">G12+G22</f>
        <v>61.227999999999994</v>
      </c>
      <c r="H23" s="59">
        <f t="shared" si="1"/>
        <v>65.863</v>
      </c>
      <c r="I23" s="59">
        <f t="shared" si="1"/>
        <v>233.572</v>
      </c>
      <c r="J23" s="59">
        <f t="shared" si="1"/>
        <v>1772.837</v>
      </c>
      <c r="K23" s="140"/>
      <c r="L23" s="140">
        <f>L12+L22</f>
        <v>314.87</v>
      </c>
      <c r="M23" s="157"/>
    </row>
    <row r="24" spans="1:13" ht="15.75">
      <c r="A24" s="7">
        <v>1</v>
      </c>
      <c r="B24" s="4">
        <v>2</v>
      </c>
      <c r="C24" s="27" t="s">
        <v>21</v>
      </c>
      <c r="D24" s="28" t="s">
        <v>31</v>
      </c>
      <c r="E24" s="39" t="s">
        <v>80</v>
      </c>
      <c r="F24" s="87">
        <v>118</v>
      </c>
      <c r="G24" s="87">
        <f>F24*12.6/90</f>
        <v>16.52</v>
      </c>
      <c r="H24" s="87">
        <f>F24*13.5/90</f>
        <v>17.7</v>
      </c>
      <c r="I24" s="87">
        <f>F24*8.7/100</f>
        <v>10.265999999999998</v>
      </c>
      <c r="J24" s="87">
        <f>F24*203.22/90</f>
        <v>266.44400000000002</v>
      </c>
      <c r="K24" s="104" t="s">
        <v>50</v>
      </c>
      <c r="L24" s="136">
        <v>105.55</v>
      </c>
      <c r="M24" s="50"/>
    </row>
    <row r="25" spans="1:13" ht="15.75">
      <c r="A25" s="7"/>
      <c r="B25" s="4"/>
      <c r="C25" s="27"/>
      <c r="D25" s="28" t="s">
        <v>32</v>
      </c>
      <c r="E25" s="39" t="s">
        <v>51</v>
      </c>
      <c r="F25" s="87">
        <v>200</v>
      </c>
      <c r="G25" s="87">
        <f>F25*3.17/150</f>
        <v>4.2266666666666666</v>
      </c>
      <c r="H25" s="87">
        <f>F25*3.6/150</f>
        <v>4.8</v>
      </c>
      <c r="I25" s="87">
        <f>F25*20.4/150</f>
        <v>27.199999999999996</v>
      </c>
      <c r="J25" s="87">
        <f>F25*128/150</f>
        <v>170.66666666666666</v>
      </c>
      <c r="K25" s="104">
        <v>44258</v>
      </c>
      <c r="L25" s="136">
        <v>26.94</v>
      </c>
      <c r="M25" s="50"/>
    </row>
    <row r="26" spans="1:13" ht="15.75">
      <c r="A26" s="7"/>
      <c r="B26" s="4"/>
      <c r="C26" s="27"/>
      <c r="D26" s="28" t="s">
        <v>23</v>
      </c>
      <c r="E26" s="40" t="s">
        <v>44</v>
      </c>
      <c r="F26" s="87">
        <v>200</v>
      </c>
      <c r="G26" s="87">
        <v>1</v>
      </c>
      <c r="H26" s="87">
        <v>0.1</v>
      </c>
      <c r="I26" s="87">
        <v>19.8</v>
      </c>
      <c r="J26" s="87">
        <f>F26*84/200</f>
        <v>84</v>
      </c>
      <c r="K26" s="88" t="s">
        <v>74</v>
      </c>
      <c r="L26" s="136">
        <v>6.66</v>
      </c>
      <c r="M26" s="50"/>
    </row>
    <row r="27" spans="1:13" ht="31.5">
      <c r="A27" s="7"/>
      <c r="B27" s="4"/>
      <c r="C27" s="27"/>
      <c r="D27" s="28" t="s">
        <v>35</v>
      </c>
      <c r="E27" s="11" t="s">
        <v>36</v>
      </c>
      <c r="F27" s="87">
        <v>40</v>
      </c>
      <c r="G27" s="87">
        <f>SUM(F27*2.37/30)</f>
        <v>3.1600000000000006</v>
      </c>
      <c r="H27" s="87">
        <f>SUM(F27*0.3/30)</f>
        <v>0.4</v>
      </c>
      <c r="I27" s="87">
        <f>SUM(F27*14.49/30)</f>
        <v>19.32</v>
      </c>
      <c r="J27" s="87">
        <f>SUM(F27*70.14/30)</f>
        <v>93.52</v>
      </c>
      <c r="K27" s="88" t="s">
        <v>25</v>
      </c>
      <c r="L27" s="136">
        <v>5.12</v>
      </c>
      <c r="M27" s="50"/>
    </row>
    <row r="28" spans="1:13" ht="15.75">
      <c r="A28" s="7"/>
      <c r="B28" s="4"/>
      <c r="C28" s="27"/>
      <c r="D28" s="28" t="s">
        <v>37</v>
      </c>
      <c r="E28" s="40" t="s">
        <v>128</v>
      </c>
      <c r="F28" s="87">
        <v>30</v>
      </c>
      <c r="G28" s="87">
        <f>SUM(F28*1.68/30)</f>
        <v>1.68</v>
      </c>
      <c r="H28" s="87">
        <f>SUM(F28*0.33/30)</f>
        <v>0.33</v>
      </c>
      <c r="I28" s="87">
        <f>SUM(F28*14.82/30)</f>
        <v>14.82</v>
      </c>
      <c r="J28" s="87">
        <f>SUM(F28*68.97/30)</f>
        <v>68.97</v>
      </c>
      <c r="K28" s="88" t="s">
        <v>25</v>
      </c>
      <c r="L28" s="136">
        <v>3.55</v>
      </c>
      <c r="M28" s="50"/>
    </row>
    <row r="29" spans="1:13" ht="15.75">
      <c r="A29" s="7"/>
      <c r="B29" s="4"/>
      <c r="C29" s="27"/>
      <c r="D29" s="29"/>
      <c r="E29" s="51"/>
      <c r="F29" s="105"/>
      <c r="G29" s="105"/>
      <c r="H29" s="105"/>
      <c r="I29" s="105"/>
      <c r="J29" s="105"/>
      <c r="K29" s="88"/>
      <c r="L29" s="136"/>
      <c r="M29" s="50"/>
    </row>
    <row r="30" spans="1:13" ht="15.75">
      <c r="A30" s="33"/>
      <c r="B30" s="22"/>
      <c r="C30" s="30"/>
      <c r="D30" s="31" t="s">
        <v>27</v>
      </c>
      <c r="E30" s="53"/>
      <c r="F30" s="54">
        <f>SUM(F24:F29)</f>
        <v>588</v>
      </c>
      <c r="G30" s="54">
        <f>SUM(G24:G29)</f>
        <v>26.586666666666666</v>
      </c>
      <c r="H30" s="54">
        <f>SUM(H24:H29)</f>
        <v>23.33</v>
      </c>
      <c r="I30" s="54">
        <f>SUM(I24:I29)</f>
        <v>91.405999999999977</v>
      </c>
      <c r="J30" s="54">
        <f>SUM(J24:J29)</f>
        <v>683.60066666666671</v>
      </c>
      <c r="K30" s="71"/>
      <c r="L30" s="139">
        <f>SUM(L24:L29)</f>
        <v>147.82000000000002</v>
      </c>
      <c r="M30" s="50"/>
    </row>
    <row r="31" spans="1:13" ht="31.5">
      <c r="A31" s="6">
        <v>1</v>
      </c>
      <c r="B31" s="6">
        <v>2</v>
      </c>
      <c r="C31" s="32" t="s">
        <v>28</v>
      </c>
      <c r="D31" s="28" t="s">
        <v>29</v>
      </c>
      <c r="E31" s="40" t="s">
        <v>153</v>
      </c>
      <c r="F31" s="87">
        <v>100</v>
      </c>
      <c r="G31" s="87">
        <f>F31*1.4/100</f>
        <v>1.4</v>
      </c>
      <c r="H31" s="87">
        <f>F31*6/100</f>
        <v>6</v>
      </c>
      <c r="I31" s="87">
        <f>F31*6.8/100</f>
        <v>6.8</v>
      </c>
      <c r="J31" s="87">
        <f>F31*87/100</f>
        <v>87</v>
      </c>
      <c r="K31" s="88" t="s">
        <v>53</v>
      </c>
      <c r="L31" s="136">
        <v>9.15</v>
      </c>
      <c r="M31" s="50"/>
    </row>
    <row r="32" spans="1:13" ht="15.75">
      <c r="A32" s="7"/>
      <c r="B32" s="4"/>
      <c r="C32" s="27"/>
      <c r="D32" s="28" t="s">
        <v>30</v>
      </c>
      <c r="E32" s="39" t="s">
        <v>137</v>
      </c>
      <c r="F32" s="87">
        <v>250</v>
      </c>
      <c r="G32" s="87">
        <f>F32*3.9/250</f>
        <v>3.9</v>
      </c>
      <c r="H32" s="87">
        <f>F32*8.6/250</f>
        <v>8.6</v>
      </c>
      <c r="I32" s="87">
        <f>F32*11.6/250</f>
        <v>11.6</v>
      </c>
      <c r="J32" s="87">
        <f>F32*139.6/250</f>
        <v>139.6</v>
      </c>
      <c r="K32" s="88" t="s">
        <v>134</v>
      </c>
      <c r="L32" s="136">
        <v>19.440000000000001</v>
      </c>
      <c r="M32" s="50"/>
    </row>
    <row r="33" spans="1:14" ht="15.75">
      <c r="A33" s="7"/>
      <c r="B33" s="4"/>
      <c r="C33" s="27"/>
      <c r="D33" s="28" t="s">
        <v>31</v>
      </c>
      <c r="E33" s="39" t="s">
        <v>54</v>
      </c>
      <c r="F33" s="87">
        <v>250</v>
      </c>
      <c r="G33" s="87">
        <f>F33*14.8/200</f>
        <v>18.5</v>
      </c>
      <c r="H33" s="87">
        <f>F33*16.51/200</f>
        <v>20.637499999999999</v>
      </c>
      <c r="I33" s="87">
        <f>F33*34.55/200</f>
        <v>43.1875</v>
      </c>
      <c r="J33" s="87">
        <f>345.76*F33/200</f>
        <v>432.2</v>
      </c>
      <c r="K33" s="88">
        <v>44294</v>
      </c>
      <c r="L33" s="136">
        <v>124.44</v>
      </c>
      <c r="M33" s="50"/>
    </row>
    <row r="34" spans="1:14" ht="15.75">
      <c r="A34" s="7"/>
      <c r="B34" s="4"/>
      <c r="C34" s="27"/>
      <c r="D34" s="28" t="s">
        <v>87</v>
      </c>
      <c r="E34" s="39" t="s">
        <v>46</v>
      </c>
      <c r="F34" s="87">
        <v>200</v>
      </c>
      <c r="G34" s="87">
        <f>F34*H34/200</f>
        <v>0</v>
      </c>
      <c r="H34" s="87">
        <f>F34*0/200</f>
        <v>0</v>
      </c>
      <c r="I34" s="87">
        <f>F34*27.8/200</f>
        <v>27.8</v>
      </c>
      <c r="J34" s="87">
        <f>F34*111/200</f>
        <v>111</v>
      </c>
      <c r="K34" s="88">
        <v>948</v>
      </c>
      <c r="L34" s="136">
        <v>4.51</v>
      </c>
      <c r="M34" s="50"/>
    </row>
    <row r="35" spans="1:14" ht="31.5">
      <c r="A35" s="7"/>
      <c r="B35" s="4"/>
      <c r="C35" s="27"/>
      <c r="D35" s="28" t="s">
        <v>35</v>
      </c>
      <c r="E35" s="11" t="s">
        <v>36</v>
      </c>
      <c r="F35" s="87">
        <v>40</v>
      </c>
      <c r="G35" s="87">
        <f>SUM(F35*3.95/50)</f>
        <v>3.16</v>
      </c>
      <c r="H35" s="87">
        <f>SUM(F35*0.5/50)</f>
        <v>0.4</v>
      </c>
      <c r="I35" s="87">
        <f>SUM(F35*24.15/50)</f>
        <v>19.32</v>
      </c>
      <c r="J35" s="87">
        <f>SUM(F35*116.9/50)</f>
        <v>93.52</v>
      </c>
      <c r="K35" s="88" t="s">
        <v>25</v>
      </c>
      <c r="L35" s="136">
        <v>5.12</v>
      </c>
      <c r="M35" s="50"/>
      <c r="N35" s="43">
        <v>1</v>
      </c>
    </row>
    <row r="36" spans="1:14" ht="15.75">
      <c r="A36" s="7"/>
      <c r="B36" s="4"/>
      <c r="C36" s="27"/>
      <c r="D36" s="28" t="s">
        <v>37</v>
      </c>
      <c r="E36" s="11" t="s">
        <v>128</v>
      </c>
      <c r="F36" s="87">
        <v>37</v>
      </c>
      <c r="G36" s="87">
        <f>SUM(F36*1.68/30)</f>
        <v>2.0720000000000001</v>
      </c>
      <c r="H36" s="87">
        <f>SUM(F36*0.33/30)</f>
        <v>0.40700000000000003</v>
      </c>
      <c r="I36" s="87">
        <f>SUM(F36*14.82/30)</f>
        <v>18.278000000000002</v>
      </c>
      <c r="J36" s="87">
        <f>SUM(F36*68.97/30)</f>
        <v>85.063000000000002</v>
      </c>
      <c r="K36" s="88" t="s">
        <v>25</v>
      </c>
      <c r="L36" s="136">
        <v>4.3899999999999997</v>
      </c>
      <c r="M36" s="50"/>
    </row>
    <row r="37" spans="1:14" ht="15.75">
      <c r="A37" s="7"/>
      <c r="B37" s="4"/>
      <c r="C37" s="27"/>
      <c r="D37" s="29"/>
      <c r="E37" s="51"/>
      <c r="F37" s="105"/>
      <c r="G37" s="105"/>
      <c r="H37" s="105"/>
      <c r="I37" s="105"/>
      <c r="J37" s="105"/>
      <c r="K37" s="88"/>
      <c r="L37" s="136"/>
      <c r="M37" s="50"/>
    </row>
    <row r="38" spans="1:14" ht="15.75">
      <c r="A38" s="7"/>
      <c r="B38" s="4"/>
      <c r="C38" s="27"/>
      <c r="D38" s="29"/>
      <c r="E38" s="51"/>
      <c r="F38" s="105"/>
      <c r="G38" s="105"/>
      <c r="H38" s="105"/>
      <c r="I38" s="105"/>
      <c r="J38" s="105"/>
      <c r="K38" s="88"/>
      <c r="L38" s="136"/>
      <c r="M38" s="50"/>
    </row>
    <row r="39" spans="1:14" ht="15.75">
      <c r="A39" s="33"/>
      <c r="B39" s="22"/>
      <c r="C39" s="30"/>
      <c r="D39" s="31" t="s">
        <v>27</v>
      </c>
      <c r="E39" s="53"/>
      <c r="F39" s="54">
        <f>SUM(F31:F38)</f>
        <v>877</v>
      </c>
      <c r="G39" s="54">
        <f>SUM(G31:G38)</f>
        <v>29.032</v>
      </c>
      <c r="H39" s="54">
        <f>SUM(H31:H38)+0.01</f>
        <v>36.054499999999997</v>
      </c>
      <c r="I39" s="54">
        <f>SUM(I31:I38)</f>
        <v>126.98550000000002</v>
      </c>
      <c r="J39" s="54">
        <f>SUM(J31:J38)</f>
        <v>948.38299999999992</v>
      </c>
      <c r="K39" s="71"/>
      <c r="L39" s="139">
        <f>SUM(L31:L38)</f>
        <v>167.04999999999998</v>
      </c>
      <c r="M39" s="50"/>
    </row>
    <row r="40" spans="1:14" ht="16.5" thickBot="1">
      <c r="A40" s="34" t="e">
        <f>#REF!</f>
        <v>#REF!</v>
      </c>
      <c r="B40" s="34" t="e">
        <f>#REF!</f>
        <v>#REF!</v>
      </c>
      <c r="C40" s="170" t="s">
        <v>38</v>
      </c>
      <c r="D40" s="171"/>
      <c r="E40" s="57"/>
      <c r="F40" s="59">
        <f>F30+F39</f>
        <v>1465</v>
      </c>
      <c r="G40" s="59">
        <f>G30+G39</f>
        <v>55.61866666666667</v>
      </c>
      <c r="H40" s="59">
        <f>H30+H39</f>
        <v>59.384499999999996</v>
      </c>
      <c r="I40" s="59">
        <f>I30+I39</f>
        <v>218.39150000000001</v>
      </c>
      <c r="J40" s="59">
        <f>J30+J39+0.01</f>
        <v>1631.9936666666665</v>
      </c>
      <c r="K40" s="72"/>
      <c r="L40" s="140">
        <f>L30+L39</f>
        <v>314.87</v>
      </c>
      <c r="M40" s="50"/>
    </row>
    <row r="41" spans="1:14" ht="31.5">
      <c r="A41" s="3">
        <v>1</v>
      </c>
      <c r="B41" s="4">
        <v>3</v>
      </c>
      <c r="C41" s="27" t="s">
        <v>21</v>
      </c>
      <c r="D41" s="26" t="s">
        <v>31</v>
      </c>
      <c r="E41" s="12" t="s">
        <v>43</v>
      </c>
      <c r="F41" s="87">
        <v>100</v>
      </c>
      <c r="G41" s="87">
        <f>F41*17.19/90</f>
        <v>19.100000000000001</v>
      </c>
      <c r="H41" s="87">
        <f>F41*14.31/90</f>
        <v>15.9</v>
      </c>
      <c r="I41" s="87">
        <f>F41*0.18/90</f>
        <v>0.2</v>
      </c>
      <c r="J41" s="87">
        <f>F41*198/90</f>
        <v>220</v>
      </c>
      <c r="K41" s="106">
        <v>4232</v>
      </c>
      <c r="L41" s="135">
        <v>71.78</v>
      </c>
      <c r="M41" s="50"/>
      <c r="N41" s="50"/>
    </row>
    <row r="42" spans="1:14" ht="15.75">
      <c r="A42" s="3"/>
      <c r="B42" s="4"/>
      <c r="C42" s="27"/>
      <c r="D42" s="29" t="s">
        <v>32</v>
      </c>
      <c r="E42" s="11" t="s">
        <v>33</v>
      </c>
      <c r="F42" s="84">
        <v>200</v>
      </c>
      <c r="G42" s="87">
        <f>F42*5.33/150</f>
        <v>7.1066666666666665</v>
      </c>
      <c r="H42" s="87">
        <f>F42*3/150</f>
        <v>4</v>
      </c>
      <c r="I42" s="87">
        <f>F42*32.4/150</f>
        <v>43.2</v>
      </c>
      <c r="J42" s="87">
        <f>177.75*F42/150</f>
        <v>237</v>
      </c>
      <c r="K42" s="88">
        <v>46.3</v>
      </c>
      <c r="L42" s="136">
        <v>12.45</v>
      </c>
      <c r="M42" s="50"/>
      <c r="N42" s="50"/>
    </row>
    <row r="43" spans="1:14" ht="15.75">
      <c r="A43" s="3"/>
      <c r="B43" s="4"/>
      <c r="C43" s="27"/>
      <c r="D43" s="28" t="s">
        <v>23</v>
      </c>
      <c r="E43" s="11" t="s">
        <v>92</v>
      </c>
      <c r="F43" s="87">
        <v>200</v>
      </c>
      <c r="G43" s="87">
        <v>3.6</v>
      </c>
      <c r="H43" s="87">
        <v>3.3</v>
      </c>
      <c r="I43" s="87">
        <v>22.8</v>
      </c>
      <c r="J43" s="87">
        <v>135</v>
      </c>
      <c r="K43" s="104" t="s">
        <v>52</v>
      </c>
      <c r="L43" s="136">
        <v>22.56</v>
      </c>
      <c r="M43" s="50"/>
      <c r="N43" s="50"/>
    </row>
    <row r="44" spans="1:14" ht="31.5">
      <c r="A44" s="3"/>
      <c r="B44" s="4"/>
      <c r="C44" s="27"/>
      <c r="D44" s="28" t="s">
        <v>35</v>
      </c>
      <c r="E44" s="11" t="s">
        <v>36</v>
      </c>
      <c r="F44" s="87">
        <v>44</v>
      </c>
      <c r="G44" s="87">
        <f>SUM(F44*2.37/30)</f>
        <v>3.476</v>
      </c>
      <c r="H44" s="87">
        <f>SUM(F44*0.3/30)</f>
        <v>0.44</v>
      </c>
      <c r="I44" s="87">
        <f>SUM(F44*14.49/30)</f>
        <v>21.252000000000002</v>
      </c>
      <c r="J44" s="87">
        <f>SUM(F44*70.14/30)</f>
        <v>102.872</v>
      </c>
      <c r="K44" s="88" t="s">
        <v>25</v>
      </c>
      <c r="L44" s="136">
        <v>5.63</v>
      </c>
      <c r="M44" s="50"/>
      <c r="N44" s="50"/>
    </row>
    <row r="45" spans="1:14" ht="15.75">
      <c r="A45" s="3"/>
      <c r="B45" s="4"/>
      <c r="C45" s="27"/>
      <c r="D45" s="28" t="s">
        <v>37</v>
      </c>
      <c r="E45" s="11" t="s">
        <v>128</v>
      </c>
      <c r="F45" s="87">
        <v>41</v>
      </c>
      <c r="G45" s="87">
        <f>SUM(F45*1.68/30)</f>
        <v>2.2959999999999998</v>
      </c>
      <c r="H45" s="87">
        <f>SUM(F45*0.33/30)</f>
        <v>0.45100000000000001</v>
      </c>
      <c r="I45" s="87">
        <f>SUM(F45*14.82/30)</f>
        <v>20.254000000000001</v>
      </c>
      <c r="J45" s="87">
        <f>SUM(F45*68.97/30)</f>
        <v>94.259</v>
      </c>
      <c r="K45" s="88" t="s">
        <v>25</v>
      </c>
      <c r="L45" s="136">
        <v>4.8499999999999996</v>
      </c>
      <c r="M45" s="50"/>
      <c r="N45" s="50"/>
    </row>
    <row r="46" spans="1:14" ht="48.75" customHeight="1">
      <c r="A46" s="3"/>
      <c r="B46" s="4"/>
      <c r="C46" s="27"/>
      <c r="D46" s="29"/>
      <c r="E46" s="60" t="s">
        <v>155</v>
      </c>
      <c r="F46" s="132">
        <v>100</v>
      </c>
      <c r="G46" s="132">
        <f>F46*2.5/100</f>
        <v>2.5</v>
      </c>
      <c r="H46" s="132">
        <f>F46*10/100</f>
        <v>10</v>
      </c>
      <c r="I46" s="132">
        <f>F46*7.08/100</f>
        <v>7.08</v>
      </c>
      <c r="J46" s="132">
        <f>F46*128/100</f>
        <v>128</v>
      </c>
      <c r="K46" s="89" t="s">
        <v>154</v>
      </c>
      <c r="L46" s="137">
        <v>30.54</v>
      </c>
      <c r="M46" s="50"/>
      <c r="N46" s="50"/>
    </row>
    <row r="47" spans="1:14" ht="15.75">
      <c r="A47" s="21"/>
      <c r="B47" s="22"/>
      <c r="C47" s="30"/>
      <c r="D47" s="31" t="s">
        <v>27</v>
      </c>
      <c r="E47" s="53"/>
      <c r="F47" s="54">
        <f>SUM(F41:F46)</f>
        <v>685</v>
      </c>
      <c r="G47" s="54">
        <f>SUM(G41:G46)-0.01</f>
        <v>38.068666666666672</v>
      </c>
      <c r="H47" s="54">
        <f>SUM(H41:H46)</f>
        <v>34.091000000000001</v>
      </c>
      <c r="I47" s="54">
        <f>SUM(I41:I46)</f>
        <v>114.786</v>
      </c>
      <c r="J47" s="54">
        <f>SUM(J41:J46)</f>
        <v>917.13099999999997</v>
      </c>
      <c r="K47" s="71"/>
      <c r="L47" s="139">
        <f>SUM(L41:L46)+0.01</f>
        <v>147.82</v>
      </c>
      <c r="M47" s="50"/>
    </row>
    <row r="48" spans="1:14" ht="47.25">
      <c r="A48" s="5">
        <v>1</v>
      </c>
      <c r="B48" s="6">
        <v>3</v>
      </c>
      <c r="C48" s="32" t="s">
        <v>28</v>
      </c>
      <c r="D48" s="28" t="s">
        <v>29</v>
      </c>
      <c r="E48" s="61" t="s">
        <v>160</v>
      </c>
      <c r="F48" s="85">
        <v>100</v>
      </c>
      <c r="G48" s="85">
        <f>F48*3.24/60</f>
        <v>5.4</v>
      </c>
      <c r="H48" s="85">
        <f>F48*7.74/60</f>
        <v>12.9</v>
      </c>
      <c r="I48" s="85">
        <f>F48*42.11/100</f>
        <v>42.11</v>
      </c>
      <c r="J48" s="85">
        <f>F48*183.84/60</f>
        <v>306.39999999999998</v>
      </c>
      <c r="K48" s="88" t="s">
        <v>93</v>
      </c>
      <c r="L48" s="136">
        <v>18.05</v>
      </c>
      <c r="M48" s="50"/>
    </row>
    <row r="49" spans="1:13" ht="32.25" thickBot="1">
      <c r="A49" s="3"/>
      <c r="B49" s="4"/>
      <c r="C49" s="27"/>
      <c r="D49" s="28" t="s">
        <v>30</v>
      </c>
      <c r="E49" s="39" t="s">
        <v>161</v>
      </c>
      <c r="F49" s="85">
        <v>250</v>
      </c>
      <c r="G49" s="85">
        <f>F49*2.7/250</f>
        <v>2.7</v>
      </c>
      <c r="H49" s="85">
        <f>F49*4.8/250</f>
        <v>4.8</v>
      </c>
      <c r="I49" s="85">
        <f>F49*8.2/250</f>
        <v>8.1999999999999993</v>
      </c>
      <c r="J49" s="85">
        <f>F49*86.6/250</f>
        <v>86.6</v>
      </c>
      <c r="K49" s="104" t="s">
        <v>94</v>
      </c>
      <c r="L49" s="136">
        <v>31.98</v>
      </c>
      <c r="M49" s="50"/>
    </row>
    <row r="50" spans="1:13" ht="31.5">
      <c r="A50" s="3"/>
      <c r="B50" s="4"/>
      <c r="C50" s="27"/>
      <c r="D50" s="28" t="s">
        <v>31</v>
      </c>
      <c r="E50" s="40" t="s">
        <v>88</v>
      </c>
      <c r="F50" s="87">
        <v>100</v>
      </c>
      <c r="G50" s="87">
        <f>F50*11.61/90</f>
        <v>12.9</v>
      </c>
      <c r="H50" s="87">
        <f>F50*12.06/90</f>
        <v>13.4</v>
      </c>
      <c r="I50" s="87">
        <f>F50*13.14/90</f>
        <v>14.6</v>
      </c>
      <c r="J50" s="87">
        <f>F50*207.54/90</f>
        <v>230.6</v>
      </c>
      <c r="K50" s="86" t="s">
        <v>135</v>
      </c>
      <c r="L50" s="136">
        <v>75.510000000000005</v>
      </c>
      <c r="M50" s="50"/>
    </row>
    <row r="51" spans="1:13" ht="15.75">
      <c r="A51" s="3"/>
      <c r="B51" s="4"/>
      <c r="C51" s="27"/>
      <c r="D51" s="28" t="s">
        <v>32</v>
      </c>
      <c r="E51" s="39" t="s">
        <v>127</v>
      </c>
      <c r="F51" s="87">
        <v>200</v>
      </c>
      <c r="G51" s="87">
        <f>F51*3.25/150</f>
        <v>4.333333333333333</v>
      </c>
      <c r="H51" s="87">
        <f>F51*2.8/150</f>
        <v>3.7333333333333334</v>
      </c>
      <c r="I51" s="87">
        <f>F51*11.9/150</f>
        <v>15.866666666666667</v>
      </c>
      <c r="J51" s="87">
        <f>F51*87/150</f>
        <v>116</v>
      </c>
      <c r="K51" s="104">
        <v>44533</v>
      </c>
      <c r="L51" s="136">
        <v>21.41</v>
      </c>
      <c r="M51" s="50"/>
    </row>
    <row r="52" spans="1:13" ht="15.75">
      <c r="A52" s="3"/>
      <c r="B52" s="4"/>
      <c r="C52" s="27"/>
      <c r="D52" s="28" t="s">
        <v>87</v>
      </c>
      <c r="E52" s="39" t="s">
        <v>41</v>
      </c>
      <c r="F52" s="85">
        <v>200</v>
      </c>
      <c r="G52" s="85">
        <v>0</v>
      </c>
      <c r="H52" s="85">
        <v>0</v>
      </c>
      <c r="I52" s="85">
        <v>12</v>
      </c>
      <c r="J52" s="85">
        <v>48</v>
      </c>
      <c r="K52" s="88" t="s">
        <v>42</v>
      </c>
      <c r="L52" s="136">
        <v>12.54</v>
      </c>
      <c r="M52" s="50"/>
    </row>
    <row r="53" spans="1:13" ht="31.5">
      <c r="A53" s="3"/>
      <c r="B53" s="4"/>
      <c r="C53" s="27"/>
      <c r="D53" s="28" t="s">
        <v>35</v>
      </c>
      <c r="E53" s="11" t="s">
        <v>36</v>
      </c>
      <c r="F53" s="87">
        <v>31</v>
      </c>
      <c r="G53" s="87">
        <f>SUM(F53*3.16/40)</f>
        <v>2.4490000000000003</v>
      </c>
      <c r="H53" s="87">
        <f>SUM(F53*0.4/40)</f>
        <v>0.31</v>
      </c>
      <c r="I53" s="87">
        <f>SUM(F53*19.32/40)</f>
        <v>14.972999999999999</v>
      </c>
      <c r="J53" s="87">
        <f>SUM(F53*93.52/40)</f>
        <v>72.477999999999994</v>
      </c>
      <c r="K53" s="88" t="s">
        <v>25</v>
      </c>
      <c r="L53" s="136">
        <v>3.97</v>
      </c>
      <c r="M53" s="50"/>
    </row>
    <row r="54" spans="1:13" ht="15.75">
      <c r="A54" s="3"/>
      <c r="B54" s="4"/>
      <c r="C54" s="27"/>
      <c r="D54" s="28" t="s">
        <v>37</v>
      </c>
      <c r="E54" s="40" t="s">
        <v>128</v>
      </c>
      <c r="F54" s="87">
        <v>30</v>
      </c>
      <c r="G54" s="87">
        <f>SUM(F54*1.68/30)</f>
        <v>1.68</v>
      </c>
      <c r="H54" s="87">
        <f>SUM(F54*0.33/30)</f>
        <v>0.33</v>
      </c>
      <c r="I54" s="87">
        <f>SUM(F54*14.82/30)</f>
        <v>14.82</v>
      </c>
      <c r="J54" s="87">
        <f>SUM(F54*68.97/30)</f>
        <v>68.97</v>
      </c>
      <c r="K54" s="88" t="s">
        <v>25</v>
      </c>
      <c r="L54" s="136">
        <v>3.59</v>
      </c>
      <c r="M54" s="50"/>
    </row>
    <row r="55" spans="1:13" ht="15.75">
      <c r="A55" s="3"/>
      <c r="B55" s="4"/>
      <c r="C55" s="27"/>
      <c r="D55" s="29"/>
      <c r="E55" s="51"/>
      <c r="F55" s="58"/>
      <c r="G55" s="58"/>
      <c r="H55" s="58"/>
      <c r="I55" s="58"/>
      <c r="J55" s="58"/>
      <c r="K55" s="41"/>
      <c r="L55" s="136"/>
      <c r="M55" s="50"/>
    </row>
    <row r="56" spans="1:13" ht="15.75">
      <c r="A56" s="3"/>
      <c r="B56" s="4"/>
      <c r="C56" s="27"/>
      <c r="D56" s="29"/>
      <c r="E56" s="51"/>
      <c r="F56" s="58"/>
      <c r="G56" s="58"/>
      <c r="H56" s="58"/>
      <c r="I56" s="58"/>
      <c r="J56" s="58"/>
      <c r="K56" s="41"/>
      <c r="L56" s="136"/>
      <c r="M56" s="50"/>
    </row>
    <row r="57" spans="1:13" ht="15.75">
      <c r="A57" s="21"/>
      <c r="B57" s="22"/>
      <c r="C57" s="30"/>
      <c r="D57" s="31" t="s">
        <v>27</v>
      </c>
      <c r="E57" s="53"/>
      <c r="F57" s="54">
        <f>SUM(F48:F56)</f>
        <v>911</v>
      </c>
      <c r="G57" s="54">
        <f>SUM(G48:G56)</f>
        <v>29.462333333333333</v>
      </c>
      <c r="H57" s="54">
        <f t="shared" ref="H57" si="2">SUM(H48:H56)</f>
        <v>35.473333333333336</v>
      </c>
      <c r="I57" s="54">
        <f>SUM(I48:I56)</f>
        <v>122.56966666666668</v>
      </c>
      <c r="J57" s="54">
        <f t="shared" ref="J57" si="3">SUM(J48:J56)</f>
        <v>929.048</v>
      </c>
      <c r="K57" s="71"/>
      <c r="L57" s="139">
        <f>SUM(L48:L56)</f>
        <v>167.05</v>
      </c>
      <c r="M57" s="50"/>
    </row>
    <row r="58" spans="1:13" ht="16.5" thickBot="1">
      <c r="A58" s="23" t="e">
        <f>#REF!</f>
        <v>#REF!</v>
      </c>
      <c r="B58" s="24" t="e">
        <f>#REF!</f>
        <v>#REF!</v>
      </c>
      <c r="C58" s="170" t="s">
        <v>38</v>
      </c>
      <c r="D58" s="171"/>
      <c r="E58" s="57"/>
      <c r="F58" s="59">
        <f>F47+F57</f>
        <v>1596</v>
      </c>
      <c r="G58" s="59">
        <f>G47+G57</f>
        <v>67.531000000000006</v>
      </c>
      <c r="H58" s="59">
        <f t="shared" ref="H58" si="4">H47+H57</f>
        <v>69.564333333333337</v>
      </c>
      <c r="I58" s="59">
        <f>I47+I57</f>
        <v>237.35566666666668</v>
      </c>
      <c r="J58" s="59">
        <f t="shared" ref="J58" si="5">J47+J57</f>
        <v>1846.1790000000001</v>
      </c>
      <c r="K58" s="72"/>
      <c r="L58" s="140">
        <f>L47+L57</f>
        <v>314.87</v>
      </c>
      <c r="M58" s="50"/>
    </row>
    <row r="59" spans="1:13" ht="15.75">
      <c r="A59" s="1">
        <v>1</v>
      </c>
      <c r="B59" s="2">
        <v>4</v>
      </c>
      <c r="C59" s="25" t="s">
        <v>21</v>
      </c>
      <c r="D59" s="26" t="s">
        <v>22</v>
      </c>
      <c r="E59" s="40" t="s">
        <v>95</v>
      </c>
      <c r="F59" s="85">
        <v>250</v>
      </c>
      <c r="G59" s="85">
        <f>F59*15.7/200</f>
        <v>19.625</v>
      </c>
      <c r="H59" s="85">
        <f>F59*15.7/200</f>
        <v>19.625</v>
      </c>
      <c r="I59" s="85">
        <f>F59*19.8/200</f>
        <v>24.75</v>
      </c>
      <c r="J59" s="85">
        <f>F59*283.3/200</f>
        <v>354.125</v>
      </c>
      <c r="K59" s="86">
        <v>44263</v>
      </c>
      <c r="L59" s="141">
        <v>101.97</v>
      </c>
      <c r="M59" s="50"/>
    </row>
    <row r="60" spans="1:13" ht="15.75">
      <c r="A60" s="3"/>
      <c r="B60" s="4"/>
      <c r="C60" s="27"/>
      <c r="D60" s="28" t="s">
        <v>23</v>
      </c>
      <c r="E60" s="40" t="s">
        <v>96</v>
      </c>
      <c r="F60" s="85">
        <v>200</v>
      </c>
      <c r="G60" s="85">
        <v>0.1</v>
      </c>
      <c r="H60" s="85">
        <v>0</v>
      </c>
      <c r="I60" s="85">
        <v>9.9</v>
      </c>
      <c r="J60" s="85">
        <v>40</v>
      </c>
      <c r="K60" s="88" t="s">
        <v>97</v>
      </c>
      <c r="L60" s="142">
        <v>6.2</v>
      </c>
      <c r="M60" s="50"/>
    </row>
    <row r="61" spans="1:13" ht="31.5">
      <c r="A61" s="3"/>
      <c r="B61" s="4"/>
      <c r="C61" s="27"/>
      <c r="D61" s="108" t="s">
        <v>35</v>
      </c>
      <c r="E61" s="11" t="s">
        <v>36</v>
      </c>
      <c r="F61" s="87">
        <v>50</v>
      </c>
      <c r="G61" s="87">
        <f>SUM(F61*3.95/50)</f>
        <v>3.95</v>
      </c>
      <c r="H61" s="87">
        <f>SUM(F61*0.5/50)</f>
        <v>0.5</v>
      </c>
      <c r="I61" s="87">
        <f>SUM(F61*24.15/50)</f>
        <v>24.15</v>
      </c>
      <c r="J61" s="87">
        <f>SUM(F61*116.9/50)</f>
        <v>116.9</v>
      </c>
      <c r="K61" s="103" t="s">
        <v>25</v>
      </c>
      <c r="L61" s="143">
        <v>6.39</v>
      </c>
      <c r="M61" s="50"/>
    </row>
    <row r="62" spans="1:13" ht="15.75">
      <c r="A62" s="3"/>
      <c r="B62" s="4"/>
      <c r="C62" s="27"/>
      <c r="D62" s="108" t="s">
        <v>37</v>
      </c>
      <c r="E62" s="40" t="s">
        <v>128</v>
      </c>
      <c r="F62" s="87">
        <v>50</v>
      </c>
      <c r="G62" s="87">
        <f>SUM(F62*2.8/50)</f>
        <v>2.8</v>
      </c>
      <c r="H62" s="87">
        <f>SUM(F62*0.55/50)</f>
        <v>0.55000000000000004</v>
      </c>
      <c r="I62" s="87">
        <f>SUM(F62*24.7/50)</f>
        <v>24.7</v>
      </c>
      <c r="J62" s="87">
        <f>SUM(F62*114.95/50)</f>
        <v>114.95</v>
      </c>
      <c r="K62" s="103" t="s">
        <v>25</v>
      </c>
      <c r="L62" s="144">
        <v>5.92</v>
      </c>
      <c r="M62" s="50"/>
    </row>
    <row r="63" spans="1:13" ht="47.25">
      <c r="A63" s="3"/>
      <c r="B63" s="4"/>
      <c r="C63" s="27"/>
      <c r="D63" s="108"/>
      <c r="E63" s="110" t="s">
        <v>146</v>
      </c>
      <c r="F63" s="93">
        <v>52</v>
      </c>
      <c r="G63" s="93">
        <f>F63*1.2/100</f>
        <v>0.624</v>
      </c>
      <c r="H63" s="93">
        <f>F63*6/100</f>
        <v>3.12</v>
      </c>
      <c r="I63" s="93">
        <f>F63*16.2/100</f>
        <v>8.4239999999999995</v>
      </c>
      <c r="J63" s="93">
        <f>F63*124/100</f>
        <v>64.48</v>
      </c>
      <c r="K63" s="103" t="s">
        <v>147</v>
      </c>
      <c r="L63" s="144">
        <v>27.33</v>
      </c>
      <c r="M63" s="50"/>
    </row>
    <row r="64" spans="1:13" ht="15.75">
      <c r="A64" s="3"/>
      <c r="B64" s="4"/>
      <c r="C64" s="27"/>
      <c r="D64" s="29"/>
      <c r="E64" s="13"/>
      <c r="F64" s="109"/>
      <c r="G64" s="109"/>
      <c r="H64" s="109"/>
      <c r="I64" s="109"/>
      <c r="J64" s="109"/>
      <c r="K64" s="92"/>
      <c r="L64" s="136"/>
      <c r="M64" s="50"/>
    </row>
    <row r="65" spans="1:13" ht="15.75">
      <c r="A65" s="3"/>
      <c r="B65" s="4"/>
      <c r="C65" s="27"/>
      <c r="D65" s="29"/>
      <c r="E65" s="51"/>
      <c r="F65" s="58"/>
      <c r="G65" s="58"/>
      <c r="H65" s="58"/>
      <c r="I65" s="58"/>
      <c r="J65" s="58"/>
      <c r="K65" s="41"/>
      <c r="L65" s="136"/>
      <c r="M65" s="50"/>
    </row>
    <row r="66" spans="1:13" ht="15.75">
      <c r="A66" s="21"/>
      <c r="B66" s="22"/>
      <c r="C66" s="30"/>
      <c r="D66" s="31" t="s">
        <v>27</v>
      </c>
      <c r="E66" s="53"/>
      <c r="F66" s="54">
        <f>SUM(F59:F65)</f>
        <v>602</v>
      </c>
      <c r="G66" s="54">
        <f t="shared" ref="G66" si="6">SUM(G59:G65)</f>
        <v>27.099</v>
      </c>
      <c r="H66" s="54">
        <f t="shared" ref="H66" si="7">SUM(H59:H65)</f>
        <v>23.795000000000002</v>
      </c>
      <c r="I66" s="54">
        <f t="shared" ref="I66" si="8">SUM(I59:I65)</f>
        <v>91.924000000000007</v>
      </c>
      <c r="J66" s="54">
        <f t="shared" ref="J66" si="9">SUM(J59:J65)</f>
        <v>690.45500000000004</v>
      </c>
      <c r="K66" s="71"/>
      <c r="L66" s="139">
        <f>SUM(L59:L65)+0.01</f>
        <v>147.82</v>
      </c>
      <c r="M66" s="50"/>
    </row>
    <row r="67" spans="1:13" ht="67.5" customHeight="1">
      <c r="A67" s="5">
        <f>A59</f>
        <v>1</v>
      </c>
      <c r="B67" s="6">
        <f>B59</f>
        <v>4</v>
      </c>
      <c r="C67" s="32" t="s">
        <v>28</v>
      </c>
      <c r="D67" s="28" t="s">
        <v>29</v>
      </c>
      <c r="E67" s="40" t="s">
        <v>98</v>
      </c>
      <c r="F67" s="85">
        <v>100</v>
      </c>
      <c r="G67" s="85">
        <f>F67*1.02/60</f>
        <v>1.7</v>
      </c>
      <c r="H67" s="85">
        <f>F67*3.6/60</f>
        <v>6</v>
      </c>
      <c r="I67" s="85">
        <f>4.74*F67/60</f>
        <v>7.9</v>
      </c>
      <c r="J67" s="85">
        <f>F67*55.44/60</f>
        <v>92.4</v>
      </c>
      <c r="K67" s="88" t="s">
        <v>129</v>
      </c>
      <c r="L67" s="136">
        <v>13.31</v>
      </c>
      <c r="M67" s="50"/>
    </row>
    <row r="68" spans="1:13" ht="31.5">
      <c r="A68" s="3"/>
      <c r="B68" s="4"/>
      <c r="C68" s="27"/>
      <c r="D68" s="28" t="s">
        <v>30</v>
      </c>
      <c r="E68" s="12" t="s">
        <v>162</v>
      </c>
      <c r="F68" s="87">
        <v>250</v>
      </c>
      <c r="G68" s="87">
        <f>F68*7.76/200</f>
        <v>9.6999999999999993</v>
      </c>
      <c r="H68" s="87">
        <f>F68*3.84/200</f>
        <v>4.8</v>
      </c>
      <c r="I68" s="87">
        <f>F68*10.48/200</f>
        <v>13.1</v>
      </c>
      <c r="J68" s="87">
        <f>F68*106.4/200</f>
        <v>133</v>
      </c>
      <c r="K68" s="104" t="s">
        <v>131</v>
      </c>
      <c r="L68" s="136">
        <v>38.369999999999997</v>
      </c>
      <c r="M68" s="50"/>
    </row>
    <row r="69" spans="1:13" ht="15.75">
      <c r="A69" s="3"/>
      <c r="B69" s="4"/>
      <c r="C69" s="27"/>
      <c r="D69" s="28" t="s">
        <v>31</v>
      </c>
      <c r="E69" s="11" t="s">
        <v>40</v>
      </c>
      <c r="F69" s="87">
        <v>110</v>
      </c>
      <c r="G69" s="87">
        <f>F69*13.32/90</f>
        <v>16.28</v>
      </c>
      <c r="H69" s="87">
        <f>F69*11.16/90</f>
        <v>13.639999999999999</v>
      </c>
      <c r="I69" s="87">
        <f>F69*8.19/90</f>
        <v>10.01</v>
      </c>
      <c r="J69" s="87">
        <f>F69*186.3/90</f>
        <v>227.7</v>
      </c>
      <c r="K69" s="88">
        <v>44325</v>
      </c>
      <c r="L69" s="136">
        <v>75.88</v>
      </c>
      <c r="M69" s="50"/>
    </row>
    <row r="70" spans="1:13" ht="15.75">
      <c r="A70" s="3"/>
      <c r="B70" s="4"/>
      <c r="C70" s="27"/>
      <c r="D70" s="28" t="s">
        <v>32</v>
      </c>
      <c r="E70" s="12" t="s">
        <v>45</v>
      </c>
      <c r="F70" s="87">
        <v>200</v>
      </c>
      <c r="G70" s="87">
        <f>F70*6.63/150</f>
        <v>8.84</v>
      </c>
      <c r="H70" s="87">
        <f>F70*4.44/150</f>
        <v>5.9200000000000008</v>
      </c>
      <c r="I70" s="87">
        <f>F70*28.8/150</f>
        <v>38.4</v>
      </c>
      <c r="J70" s="87">
        <f>F70*181.5/150</f>
        <v>242</v>
      </c>
      <c r="K70" s="104" t="s">
        <v>64</v>
      </c>
      <c r="L70" s="136">
        <v>12.48</v>
      </c>
      <c r="M70" s="50"/>
    </row>
    <row r="71" spans="1:13" ht="15.75">
      <c r="A71" s="3"/>
      <c r="B71" s="4"/>
      <c r="C71" s="27"/>
      <c r="D71" s="28" t="s">
        <v>87</v>
      </c>
      <c r="E71" s="11" t="s">
        <v>49</v>
      </c>
      <c r="F71" s="87">
        <v>200</v>
      </c>
      <c r="G71" s="87">
        <v>0.2</v>
      </c>
      <c r="H71" s="87">
        <v>0.2</v>
      </c>
      <c r="I71" s="87">
        <v>16.8</v>
      </c>
      <c r="J71" s="87">
        <v>70</v>
      </c>
      <c r="K71" s="104">
        <v>44296</v>
      </c>
      <c r="L71" s="136">
        <v>17.53</v>
      </c>
      <c r="M71" s="50"/>
    </row>
    <row r="72" spans="1:13" ht="31.5">
      <c r="A72" s="3"/>
      <c r="B72" s="4"/>
      <c r="C72" s="27"/>
      <c r="D72" s="28" t="s">
        <v>35</v>
      </c>
      <c r="E72" s="11" t="s">
        <v>36</v>
      </c>
      <c r="F72" s="87">
        <v>40</v>
      </c>
      <c r="G72" s="87">
        <f>SUM(F72*3.16/40)</f>
        <v>3.16</v>
      </c>
      <c r="H72" s="87">
        <f>SUM(F72*0.4/40)</f>
        <v>0.4</v>
      </c>
      <c r="I72" s="87">
        <f>SUM(F72*19.32/40)</f>
        <v>19.32</v>
      </c>
      <c r="J72" s="87">
        <f>SUM(F72*93.52/40)</f>
        <v>93.52</v>
      </c>
      <c r="K72" s="88" t="s">
        <v>25</v>
      </c>
      <c r="L72" s="136">
        <v>5.12</v>
      </c>
      <c r="M72" s="50"/>
    </row>
    <row r="73" spans="1:13" ht="15.75">
      <c r="A73" s="3"/>
      <c r="B73" s="4"/>
      <c r="C73" s="27"/>
      <c r="D73" s="28" t="s">
        <v>37</v>
      </c>
      <c r="E73" s="11" t="s">
        <v>128</v>
      </c>
      <c r="F73" s="87">
        <v>37</v>
      </c>
      <c r="G73" s="87">
        <f>SUM(F73*1.68/30)</f>
        <v>2.0720000000000001</v>
      </c>
      <c r="H73" s="87">
        <f>SUM(F73*0.33/30)</f>
        <v>0.40700000000000003</v>
      </c>
      <c r="I73" s="87">
        <f>SUM(F73*14.82/30)</f>
        <v>18.278000000000002</v>
      </c>
      <c r="J73" s="87">
        <f>SUM(F73*68.97/30)</f>
        <v>85.063000000000002</v>
      </c>
      <c r="K73" s="88" t="s">
        <v>25</v>
      </c>
      <c r="L73" s="136">
        <v>4.37</v>
      </c>
      <c r="M73" s="50"/>
    </row>
    <row r="74" spans="1:13" ht="15.75">
      <c r="A74" s="3"/>
      <c r="B74" s="4"/>
      <c r="C74" s="27"/>
      <c r="D74" s="29"/>
      <c r="E74" s="51"/>
      <c r="F74" s="105"/>
      <c r="G74" s="105"/>
      <c r="H74" s="105"/>
      <c r="I74" s="105"/>
      <c r="J74" s="105"/>
      <c r="K74" s="88"/>
      <c r="L74" s="136"/>
      <c r="M74" s="50"/>
    </row>
    <row r="75" spans="1:13" ht="15.75">
      <c r="A75" s="3"/>
      <c r="B75" s="4"/>
      <c r="C75" s="27"/>
      <c r="D75" s="29"/>
      <c r="E75" s="51"/>
      <c r="F75" s="105"/>
      <c r="G75" s="105"/>
      <c r="H75" s="105"/>
      <c r="I75" s="105"/>
      <c r="J75" s="105"/>
      <c r="K75" s="88"/>
      <c r="L75" s="136"/>
      <c r="M75" s="50"/>
    </row>
    <row r="76" spans="1:13" ht="15.75">
      <c r="A76" s="21"/>
      <c r="B76" s="22"/>
      <c r="C76" s="30"/>
      <c r="D76" s="31" t="s">
        <v>27</v>
      </c>
      <c r="E76" s="53"/>
      <c r="F76" s="54">
        <f>SUM(F67:F75)</f>
        <v>937</v>
      </c>
      <c r="G76" s="54">
        <f t="shared" ref="G76" si="10">SUM(G67:G75)</f>
        <v>41.951999999999998</v>
      </c>
      <c r="H76" s="54">
        <f t="shared" ref="H76" si="11">SUM(H67:H75)</f>
        <v>31.366999999999997</v>
      </c>
      <c r="I76" s="54">
        <f t="shared" ref="I76" si="12">SUM(I67:I75)</f>
        <v>123.80800000000001</v>
      </c>
      <c r="J76" s="54">
        <f t="shared" ref="J76" si="13">SUM(J67:J75)</f>
        <v>943.68299999999999</v>
      </c>
      <c r="K76" s="71"/>
      <c r="L76" s="139">
        <f>SUM(L67:L75)-0.01</f>
        <v>167.05</v>
      </c>
      <c r="M76" s="50"/>
    </row>
    <row r="77" spans="1:13" ht="16.5" thickBot="1">
      <c r="A77" s="23">
        <f>A59</f>
        <v>1</v>
      </c>
      <c r="B77" s="24">
        <f>B59</f>
        <v>4</v>
      </c>
      <c r="C77" s="170" t="s">
        <v>38</v>
      </c>
      <c r="D77" s="171"/>
      <c r="E77" s="57"/>
      <c r="F77" s="59">
        <f>F66+F76</f>
        <v>1539</v>
      </c>
      <c r="G77" s="59">
        <f t="shared" ref="G77" si="14">G66+G76</f>
        <v>69.051000000000002</v>
      </c>
      <c r="H77" s="59">
        <f t="shared" ref="H77" si="15">H66+H76</f>
        <v>55.161999999999999</v>
      </c>
      <c r="I77" s="59">
        <f t="shared" ref="I77" si="16">I66+I76</f>
        <v>215.73200000000003</v>
      </c>
      <c r="J77" s="59">
        <f t="shared" ref="J77" si="17">J66+J76</f>
        <v>1634.1379999999999</v>
      </c>
      <c r="K77" s="72"/>
      <c r="L77" s="140">
        <f>L66+L76</f>
        <v>314.87</v>
      </c>
      <c r="M77" s="50"/>
    </row>
    <row r="78" spans="1:13" ht="16.5" thickBot="1">
      <c r="A78" s="1">
        <v>1</v>
      </c>
      <c r="B78" s="2">
        <v>5</v>
      </c>
      <c r="C78" s="25" t="s">
        <v>21</v>
      </c>
      <c r="D78" s="26"/>
      <c r="E78" s="12"/>
      <c r="F78" s="10"/>
      <c r="G78" s="10"/>
      <c r="H78" s="10"/>
      <c r="I78" s="10"/>
      <c r="J78" s="10"/>
      <c r="K78" s="14"/>
      <c r="L78" s="135"/>
      <c r="M78" s="50"/>
    </row>
    <row r="79" spans="1:13" ht="15.75">
      <c r="A79" s="3"/>
      <c r="B79" s="4"/>
      <c r="C79" s="27"/>
      <c r="D79" s="26" t="s">
        <v>22</v>
      </c>
      <c r="E79" s="39" t="s">
        <v>99</v>
      </c>
      <c r="F79" s="85">
        <v>240</v>
      </c>
      <c r="G79" s="85">
        <f>F79*19.5/200</f>
        <v>23.4</v>
      </c>
      <c r="H79" s="85">
        <f>F79*21.2/200</f>
        <v>25.44</v>
      </c>
      <c r="I79" s="85">
        <f>F79*17.7/200</f>
        <v>21.24</v>
      </c>
      <c r="J79" s="85">
        <f>F79*339.6/200</f>
        <v>407.52</v>
      </c>
      <c r="K79" s="104" t="s">
        <v>101</v>
      </c>
      <c r="L79" s="136">
        <v>86.19</v>
      </c>
      <c r="M79" s="50"/>
    </row>
    <row r="80" spans="1:13" ht="15.75">
      <c r="A80" s="3"/>
      <c r="B80" s="4"/>
      <c r="C80" s="27"/>
      <c r="D80" s="28" t="s">
        <v>23</v>
      </c>
      <c r="E80" s="40" t="s">
        <v>100</v>
      </c>
      <c r="F80" s="40">
        <v>200</v>
      </c>
      <c r="G80" s="85">
        <v>0.1</v>
      </c>
      <c r="H80" s="85">
        <v>0</v>
      </c>
      <c r="I80" s="85">
        <v>9.8000000000000007</v>
      </c>
      <c r="J80" s="85">
        <v>39</v>
      </c>
      <c r="K80" s="104" t="s">
        <v>102</v>
      </c>
      <c r="L80" s="136">
        <v>3.06</v>
      </c>
      <c r="M80" s="50"/>
    </row>
    <row r="81" spans="1:13" ht="15.75">
      <c r="A81" s="3"/>
      <c r="B81" s="4"/>
      <c r="C81" s="27"/>
      <c r="D81" s="28" t="s">
        <v>35</v>
      </c>
      <c r="E81" s="40" t="s">
        <v>26</v>
      </c>
      <c r="F81" s="84">
        <v>60</v>
      </c>
      <c r="G81" s="84">
        <f>F81*7.32/60</f>
        <v>7.3200000000000012</v>
      </c>
      <c r="H81" s="84">
        <f>F81*4.44/60</f>
        <v>4.4400000000000004</v>
      </c>
      <c r="I81" s="84">
        <f>F81*21/60</f>
        <v>21</v>
      </c>
      <c r="J81" s="84">
        <f>F81*153.24/60</f>
        <v>153.24000000000004</v>
      </c>
      <c r="K81" s="104" t="s">
        <v>91</v>
      </c>
      <c r="L81" s="136">
        <v>41.69</v>
      </c>
      <c r="M81" s="50"/>
    </row>
    <row r="82" spans="1:13" ht="15.75">
      <c r="A82" s="3"/>
      <c r="B82" s="4"/>
      <c r="C82" s="27"/>
      <c r="D82" s="28" t="s">
        <v>37</v>
      </c>
      <c r="E82" s="11" t="s">
        <v>128</v>
      </c>
      <c r="F82" s="87">
        <v>56</v>
      </c>
      <c r="G82" s="87">
        <f>SUM(F82*2.8/50)</f>
        <v>3.1359999999999997</v>
      </c>
      <c r="H82" s="87">
        <f>SUM(F82*0.55/50)</f>
        <v>0.6160000000000001</v>
      </c>
      <c r="I82" s="87">
        <f>SUM(F82*24.7/50)</f>
        <v>27.664000000000001</v>
      </c>
      <c r="J82" s="87">
        <f>SUM(F82*114.95/50)</f>
        <v>128.744</v>
      </c>
      <c r="K82" s="88" t="s">
        <v>25</v>
      </c>
      <c r="L82" s="136">
        <v>6.6</v>
      </c>
      <c r="M82" s="50"/>
    </row>
    <row r="83" spans="1:13" ht="31.5">
      <c r="A83" s="3"/>
      <c r="B83" s="4"/>
      <c r="C83" s="27"/>
      <c r="D83" s="28"/>
      <c r="E83" s="11" t="s">
        <v>156</v>
      </c>
      <c r="F83" s="87">
        <v>13</v>
      </c>
      <c r="G83" s="87">
        <f>2.3*F83/100</f>
        <v>0.29899999999999999</v>
      </c>
      <c r="H83" s="87">
        <f>4*F83/100</f>
        <v>0.52</v>
      </c>
      <c r="I83" s="87">
        <f>13.3*F83/100</f>
        <v>1.7290000000000001</v>
      </c>
      <c r="J83" s="87">
        <f>96*F83/100</f>
        <v>12.48</v>
      </c>
      <c r="K83" s="88" t="s">
        <v>157</v>
      </c>
      <c r="L83" s="136">
        <v>10.28</v>
      </c>
      <c r="M83" s="50"/>
    </row>
    <row r="84" spans="1:13" ht="20.25" customHeight="1">
      <c r="A84" s="21"/>
      <c r="B84" s="22"/>
      <c r="C84" s="30"/>
      <c r="D84" s="31" t="s">
        <v>27</v>
      </c>
      <c r="E84" s="53"/>
      <c r="F84" s="54">
        <f>SUM(F79:F83)</f>
        <v>569</v>
      </c>
      <c r="G84" s="54">
        <f>SUM(G79:G83)</f>
        <v>34.255000000000003</v>
      </c>
      <c r="H84" s="54">
        <f>SUM(H79:H83)</f>
        <v>31.016000000000002</v>
      </c>
      <c r="I84" s="54">
        <f>SUM(I79:I83)</f>
        <v>81.433000000000007</v>
      </c>
      <c r="J84" s="54">
        <f>SUM(J79:J83)</f>
        <v>740.98400000000004</v>
      </c>
      <c r="K84" s="71"/>
      <c r="L84" s="139">
        <f>SUM(L79:L83)</f>
        <v>147.82</v>
      </c>
      <c r="M84" s="50"/>
    </row>
    <row r="85" spans="1:13" ht="47.25">
      <c r="A85" s="5">
        <f>A78</f>
        <v>1</v>
      </c>
      <c r="B85" s="6">
        <f>B78</f>
        <v>5</v>
      </c>
      <c r="C85" s="32" t="s">
        <v>28</v>
      </c>
      <c r="D85" s="28" t="s">
        <v>29</v>
      </c>
      <c r="E85" s="40" t="s">
        <v>103</v>
      </c>
      <c r="F85" s="85">
        <v>100</v>
      </c>
      <c r="G85" s="85">
        <f>F85*0.6/60</f>
        <v>1</v>
      </c>
      <c r="H85" s="85">
        <f>F85*3.6/60</f>
        <v>6</v>
      </c>
      <c r="I85" s="85">
        <f>F85*5.76/60</f>
        <v>9.6</v>
      </c>
      <c r="J85" s="85">
        <f>F85*57.84/60</f>
        <v>96.4</v>
      </c>
      <c r="K85" s="88" t="s">
        <v>105</v>
      </c>
      <c r="L85" s="136">
        <v>13.97</v>
      </c>
      <c r="M85" s="50"/>
    </row>
    <row r="86" spans="1:13" ht="47.25">
      <c r="A86" s="3"/>
      <c r="B86" s="4"/>
      <c r="C86" s="27"/>
      <c r="D86" s="28" t="s">
        <v>30</v>
      </c>
      <c r="E86" s="40" t="s">
        <v>163</v>
      </c>
      <c r="F86" s="85">
        <v>250</v>
      </c>
      <c r="G86" s="85">
        <f>F86*3.8/250</f>
        <v>3.8</v>
      </c>
      <c r="H86" s="85">
        <f>F86*6.9/250</f>
        <v>6.9</v>
      </c>
      <c r="I86" s="85">
        <f>F86*9.6/250</f>
        <v>9.6</v>
      </c>
      <c r="J86" s="85">
        <f>F86*116/250</f>
        <v>116</v>
      </c>
      <c r="K86" s="88" t="s">
        <v>106</v>
      </c>
      <c r="L86" s="136">
        <v>32.6</v>
      </c>
      <c r="M86" s="50"/>
    </row>
    <row r="87" spans="1:13" ht="15.75">
      <c r="A87" s="3"/>
      <c r="B87" s="4"/>
      <c r="C87" s="27"/>
      <c r="D87" s="28" t="s">
        <v>31</v>
      </c>
      <c r="E87" s="40" t="s">
        <v>152</v>
      </c>
      <c r="F87" s="84">
        <v>100</v>
      </c>
      <c r="G87" s="87">
        <f>F87*11.7/90</f>
        <v>13</v>
      </c>
      <c r="H87" s="87">
        <f>F87*11.61/90</f>
        <v>12.9</v>
      </c>
      <c r="I87" s="87">
        <f>F87*5.76/90</f>
        <v>6.4</v>
      </c>
      <c r="J87" s="87">
        <f>F87*174.6/90</f>
        <v>194</v>
      </c>
      <c r="K87" s="88" t="s">
        <v>107</v>
      </c>
      <c r="L87" s="136">
        <v>76.72</v>
      </c>
      <c r="M87" s="50"/>
    </row>
    <row r="88" spans="1:13" ht="15.75">
      <c r="A88" s="3"/>
      <c r="B88" s="4"/>
      <c r="C88" s="27"/>
      <c r="D88" s="28" t="s">
        <v>32</v>
      </c>
      <c r="E88" s="39" t="s">
        <v>51</v>
      </c>
      <c r="F88" s="87">
        <v>180</v>
      </c>
      <c r="G88" s="87">
        <f>F88*3.17/150</f>
        <v>3.8040000000000003</v>
      </c>
      <c r="H88" s="87">
        <f>F88*3.6/150</f>
        <v>4.32</v>
      </c>
      <c r="I88" s="87">
        <f>F88*20.4/150</f>
        <v>24.479999999999997</v>
      </c>
      <c r="J88" s="87">
        <f>F88*128/150</f>
        <v>153.6</v>
      </c>
      <c r="K88" s="88">
        <v>44258</v>
      </c>
      <c r="L88" s="136">
        <v>24.25</v>
      </c>
      <c r="M88" s="50"/>
    </row>
    <row r="89" spans="1:13" ht="15.75">
      <c r="A89" s="3"/>
      <c r="B89" s="4"/>
      <c r="C89" s="27"/>
      <c r="D89" s="28" t="s">
        <v>87</v>
      </c>
      <c r="E89" s="40" t="s">
        <v>55</v>
      </c>
      <c r="F89" s="85">
        <v>200</v>
      </c>
      <c r="G89" s="85">
        <v>0.2</v>
      </c>
      <c r="H89" s="85">
        <v>0.1</v>
      </c>
      <c r="I89" s="85">
        <v>13.1</v>
      </c>
      <c r="J89" s="85">
        <v>54</v>
      </c>
      <c r="K89" s="88" t="s">
        <v>56</v>
      </c>
      <c r="L89" s="136">
        <v>7.7</v>
      </c>
      <c r="M89" s="50"/>
    </row>
    <row r="90" spans="1:13" ht="31.5">
      <c r="A90" s="3"/>
      <c r="B90" s="4"/>
      <c r="C90" s="27"/>
      <c r="D90" s="28" t="s">
        <v>35</v>
      </c>
      <c r="E90" s="11" t="s">
        <v>36</v>
      </c>
      <c r="F90" s="87">
        <v>50</v>
      </c>
      <c r="G90" s="87">
        <f>SUM(F90*3.95/50)</f>
        <v>3.95</v>
      </c>
      <c r="H90" s="87">
        <f>SUM(F90*0.5/50)</f>
        <v>0.5</v>
      </c>
      <c r="I90" s="87">
        <f>SUM(F90*24.15/50)</f>
        <v>24.15</v>
      </c>
      <c r="J90" s="87">
        <f>SUM(F90*116.9/50)</f>
        <v>116.9</v>
      </c>
      <c r="K90" s="88" t="s">
        <v>25</v>
      </c>
      <c r="L90" s="136">
        <v>6.4</v>
      </c>
      <c r="M90" s="50"/>
    </row>
    <row r="91" spans="1:13" ht="15.75">
      <c r="A91" s="3"/>
      <c r="B91" s="4"/>
      <c r="C91" s="27"/>
      <c r="D91" s="28" t="s">
        <v>37</v>
      </c>
      <c r="E91" s="40" t="s">
        <v>128</v>
      </c>
      <c r="F91" s="87">
        <v>46</v>
      </c>
      <c r="G91" s="87">
        <f>SUM(F91*1.68/30)</f>
        <v>2.5760000000000001</v>
      </c>
      <c r="H91" s="87">
        <f>SUM(F91*0.33/30)</f>
        <v>0.50600000000000001</v>
      </c>
      <c r="I91" s="87">
        <f>SUM(F91*14.82/30)</f>
        <v>22.724</v>
      </c>
      <c r="J91" s="87">
        <f>SUM(F91*68.97/30)</f>
        <v>105.75399999999999</v>
      </c>
      <c r="K91" s="88" t="s">
        <v>25</v>
      </c>
      <c r="L91" s="136">
        <v>5.43</v>
      </c>
      <c r="M91" s="50"/>
    </row>
    <row r="92" spans="1:13" ht="15.75">
      <c r="A92" s="3"/>
      <c r="B92" s="4"/>
      <c r="C92" s="27"/>
      <c r="D92" s="29"/>
      <c r="E92" s="51"/>
      <c r="F92" s="105"/>
      <c r="G92" s="105"/>
      <c r="H92" s="105"/>
      <c r="I92" s="105"/>
      <c r="J92" s="105"/>
      <c r="K92" s="88"/>
      <c r="L92" s="136"/>
      <c r="M92" s="50"/>
    </row>
    <row r="93" spans="1:13" ht="15.75">
      <c r="A93" s="3"/>
      <c r="B93" s="4"/>
      <c r="C93" s="27"/>
      <c r="D93" s="29"/>
      <c r="E93" s="51"/>
      <c r="F93" s="58"/>
      <c r="G93" s="58"/>
      <c r="H93" s="58"/>
      <c r="I93" s="58"/>
      <c r="J93" s="58"/>
      <c r="K93" s="41"/>
      <c r="L93" s="136"/>
      <c r="M93" s="50"/>
    </row>
    <row r="94" spans="1:13" ht="21" customHeight="1">
      <c r="A94" s="21"/>
      <c r="B94" s="22"/>
      <c r="C94" s="30"/>
      <c r="D94" s="31" t="s">
        <v>27</v>
      </c>
      <c r="E94" s="53"/>
      <c r="F94" s="54">
        <f>SUM(F85:F93)</f>
        <v>926</v>
      </c>
      <c r="G94" s="54">
        <f>SUM(G85:G93)</f>
        <v>28.33</v>
      </c>
      <c r="H94" s="54">
        <f t="shared" ref="H94" si="18">SUM(H85:H93)</f>
        <v>31.226000000000003</v>
      </c>
      <c r="I94" s="54">
        <f t="shared" ref="I94" si="19">SUM(I85:I93)</f>
        <v>110.054</v>
      </c>
      <c r="J94" s="54">
        <f>SUM(J85:J93)+0.01</f>
        <v>836.66399999999999</v>
      </c>
      <c r="K94" s="71"/>
      <c r="L94" s="139">
        <f>SUM(L85:L93)-0.02</f>
        <v>167.04999999999998</v>
      </c>
      <c r="M94" s="50"/>
    </row>
    <row r="95" spans="1:13" ht="24.75" customHeight="1" thickBot="1">
      <c r="A95" s="23">
        <f>A78</f>
        <v>1</v>
      </c>
      <c r="B95" s="24">
        <f>B78</f>
        <v>5</v>
      </c>
      <c r="C95" s="170" t="s">
        <v>38</v>
      </c>
      <c r="D95" s="171"/>
      <c r="E95" s="57"/>
      <c r="F95" s="59">
        <f>F84+F94</f>
        <v>1495</v>
      </c>
      <c r="G95" s="59">
        <f t="shared" ref="G95" si="20">G84+G94</f>
        <v>62.585000000000001</v>
      </c>
      <c r="H95" s="59">
        <f t="shared" ref="H95" si="21">H84+H94</f>
        <v>62.242000000000004</v>
      </c>
      <c r="I95" s="59">
        <f t="shared" ref="I95" si="22">I84+I94</f>
        <v>191.48700000000002</v>
      </c>
      <c r="J95" s="59">
        <f>J84+J94-0.01</f>
        <v>1577.6380000000001</v>
      </c>
      <c r="K95" s="72"/>
      <c r="L95" s="140">
        <f>L84+L94</f>
        <v>314.87</v>
      </c>
      <c r="M95" s="50"/>
    </row>
    <row r="96" spans="1:13" ht="31.5">
      <c r="A96" s="1">
        <v>2</v>
      </c>
      <c r="B96" s="2">
        <v>1</v>
      </c>
      <c r="C96" s="25" t="s">
        <v>21</v>
      </c>
      <c r="D96" s="26" t="s">
        <v>22</v>
      </c>
      <c r="E96" s="40" t="s">
        <v>108</v>
      </c>
      <c r="F96" s="85">
        <v>230</v>
      </c>
      <c r="G96" s="85">
        <f>F96*5.5/200</f>
        <v>6.3250000000000002</v>
      </c>
      <c r="H96" s="85">
        <f>F96*9.9/200</f>
        <v>11.385</v>
      </c>
      <c r="I96" s="85">
        <f>F96*39.26/200</f>
        <v>45.148999999999994</v>
      </c>
      <c r="J96" s="85">
        <f>F96*268.14/200</f>
        <v>308.36099999999999</v>
      </c>
      <c r="K96" s="86">
        <v>44443</v>
      </c>
      <c r="L96" s="135">
        <v>39.5</v>
      </c>
      <c r="M96" s="50"/>
    </row>
    <row r="97" spans="1:13" ht="15.75">
      <c r="A97" s="3"/>
      <c r="B97" s="4"/>
      <c r="C97" s="27"/>
      <c r="D97" s="29" t="s">
        <v>59</v>
      </c>
      <c r="E97" s="40" t="s">
        <v>77</v>
      </c>
      <c r="F97" s="87"/>
      <c r="G97" s="87">
        <v>0.4</v>
      </c>
      <c r="H97" s="87">
        <v>0.4</v>
      </c>
      <c r="I97" s="87">
        <v>10.95</v>
      </c>
      <c r="J97" s="87">
        <v>49</v>
      </c>
      <c r="K97" s="88" t="s">
        <v>25</v>
      </c>
      <c r="L97" s="136">
        <v>33.07</v>
      </c>
      <c r="M97" s="50"/>
    </row>
    <row r="98" spans="1:13" ht="31.5">
      <c r="A98" s="3"/>
      <c r="B98" s="4"/>
      <c r="C98" s="27"/>
      <c r="D98" s="28" t="s">
        <v>23</v>
      </c>
      <c r="E98" s="40" t="s">
        <v>24</v>
      </c>
      <c r="F98" s="85">
        <v>200</v>
      </c>
      <c r="G98" s="85">
        <v>3.1</v>
      </c>
      <c r="H98" s="85">
        <v>3.2</v>
      </c>
      <c r="I98" s="85">
        <v>14.4</v>
      </c>
      <c r="J98" s="85">
        <v>99</v>
      </c>
      <c r="K98" s="88" t="s">
        <v>58</v>
      </c>
      <c r="L98" s="136">
        <v>22.02</v>
      </c>
      <c r="M98" s="50"/>
    </row>
    <row r="99" spans="1:13" ht="15.75">
      <c r="A99" s="3"/>
      <c r="B99" s="4"/>
      <c r="C99" s="27"/>
      <c r="D99" s="29" t="s">
        <v>35</v>
      </c>
      <c r="E99" s="40" t="s">
        <v>26</v>
      </c>
      <c r="F99" s="84">
        <v>50</v>
      </c>
      <c r="G99" s="84">
        <f>F99*6.1/50</f>
        <v>6.1</v>
      </c>
      <c r="H99" s="84">
        <f>F99*3.7/50</f>
        <v>3.7</v>
      </c>
      <c r="I99" s="84">
        <f>F99*17.5/50</f>
        <v>17.5</v>
      </c>
      <c r="J99" s="84">
        <f>F99*127.7/50</f>
        <v>127.7</v>
      </c>
      <c r="K99" s="104">
        <v>44240</v>
      </c>
      <c r="L99" s="136">
        <v>34.74</v>
      </c>
      <c r="M99" s="50"/>
    </row>
    <row r="100" spans="1:13" ht="15.75">
      <c r="A100" s="3"/>
      <c r="B100" s="4"/>
      <c r="C100" s="27"/>
      <c r="D100" s="28" t="s">
        <v>37</v>
      </c>
      <c r="E100" s="40" t="s">
        <v>128</v>
      </c>
      <c r="F100" s="87">
        <v>40</v>
      </c>
      <c r="G100" s="87">
        <f>SUM(F100*1.68/30)</f>
        <v>2.2400000000000002</v>
      </c>
      <c r="H100" s="87">
        <f>SUM(F100*0.33/30)</f>
        <v>0.44000000000000006</v>
      </c>
      <c r="I100" s="87">
        <f>SUM(F100*14.82/30)</f>
        <v>19.759999999999998</v>
      </c>
      <c r="J100" s="87">
        <f>SUM(F100*68.97/30)</f>
        <v>91.960000000000008</v>
      </c>
      <c r="K100" s="88" t="s">
        <v>25</v>
      </c>
      <c r="L100" s="136">
        <v>4.74</v>
      </c>
      <c r="M100" s="50"/>
    </row>
    <row r="101" spans="1:13" ht="15.75">
      <c r="A101" s="3"/>
      <c r="B101" s="4"/>
      <c r="C101" s="27"/>
      <c r="D101" s="29"/>
      <c r="E101" s="101" t="s">
        <v>139</v>
      </c>
      <c r="F101" s="102">
        <v>40</v>
      </c>
      <c r="G101" s="102">
        <f>F101*5.1/40</f>
        <v>5.0999999999999996</v>
      </c>
      <c r="H101" s="102">
        <f>F101*4.6/40</f>
        <v>4.5999999999999996</v>
      </c>
      <c r="I101" s="102">
        <f>F101*0.3/40</f>
        <v>0.3</v>
      </c>
      <c r="J101" s="102">
        <f>F101*63/40</f>
        <v>63</v>
      </c>
      <c r="K101" s="103" t="s">
        <v>141</v>
      </c>
      <c r="L101" s="138">
        <v>13.76</v>
      </c>
      <c r="M101" s="50"/>
    </row>
    <row r="102" spans="1:13" ht="15.75">
      <c r="A102" s="21"/>
      <c r="B102" s="22"/>
      <c r="C102" s="30"/>
      <c r="D102" s="31" t="s">
        <v>27</v>
      </c>
      <c r="E102" s="53"/>
      <c r="F102" s="54">
        <f t="shared" ref="F102:J102" si="23">SUM(F96:F101)</f>
        <v>560</v>
      </c>
      <c r="G102" s="54">
        <f t="shared" si="23"/>
        <v>23.265000000000001</v>
      </c>
      <c r="H102" s="54">
        <f t="shared" si="23"/>
        <v>23.725000000000001</v>
      </c>
      <c r="I102" s="54">
        <f t="shared" si="23"/>
        <v>108.05899999999998</v>
      </c>
      <c r="J102" s="54">
        <f t="shared" si="23"/>
        <v>739.02100000000007</v>
      </c>
      <c r="K102" s="71"/>
      <c r="L102" s="139">
        <f>SUM(L96:L101)-0.01</f>
        <v>147.82</v>
      </c>
      <c r="M102" s="50"/>
    </row>
    <row r="103" spans="1:13" ht="47.25">
      <c r="A103" s="5">
        <f>A96</f>
        <v>2</v>
      </c>
      <c r="B103" s="6">
        <f>B96</f>
        <v>1</v>
      </c>
      <c r="C103" s="32" t="s">
        <v>28</v>
      </c>
      <c r="D103" s="28" t="s">
        <v>29</v>
      </c>
      <c r="E103" s="12" t="s">
        <v>164</v>
      </c>
      <c r="F103" s="87">
        <v>100</v>
      </c>
      <c r="G103" s="87">
        <f>F103*1.5/60</f>
        <v>2.5</v>
      </c>
      <c r="H103" s="87">
        <f>F103*6/60</f>
        <v>10</v>
      </c>
      <c r="I103" s="87">
        <f>F103*4.25/60</f>
        <v>7.083333333333333</v>
      </c>
      <c r="J103" s="87">
        <f>F103*76.8/60</f>
        <v>128</v>
      </c>
      <c r="K103" s="104">
        <v>44409</v>
      </c>
      <c r="L103" s="145">
        <v>30.56</v>
      </c>
      <c r="M103" s="50"/>
    </row>
    <row r="104" spans="1:13" ht="31.5">
      <c r="A104" s="3"/>
      <c r="B104" s="4"/>
      <c r="C104" s="27"/>
      <c r="D104" s="28" t="s">
        <v>30</v>
      </c>
      <c r="E104" s="12" t="s">
        <v>148</v>
      </c>
      <c r="F104" s="87">
        <v>250</v>
      </c>
      <c r="G104" s="87">
        <f>F104*5.1/250</f>
        <v>5.0999999999999996</v>
      </c>
      <c r="H104" s="87">
        <f>F104*5.4/250</f>
        <v>5.4</v>
      </c>
      <c r="I104" s="87">
        <f>F104*22.4/250</f>
        <v>22.4</v>
      </c>
      <c r="J104" s="87">
        <f>F104*158.6/250</f>
        <v>158.6</v>
      </c>
      <c r="K104" s="104" t="s">
        <v>82</v>
      </c>
      <c r="L104" s="145">
        <v>34.4</v>
      </c>
      <c r="M104" s="50"/>
    </row>
    <row r="105" spans="1:13" ht="15.75">
      <c r="A105" s="3"/>
      <c r="B105" s="4"/>
      <c r="C105" s="27"/>
      <c r="D105" s="28" t="s">
        <v>81</v>
      </c>
      <c r="E105" s="11" t="s">
        <v>76</v>
      </c>
      <c r="F105" s="87">
        <v>40</v>
      </c>
      <c r="G105" s="87">
        <f>F105*1.71/20</f>
        <v>3.4200000000000004</v>
      </c>
      <c r="H105" s="87">
        <f>F105*0.17/20</f>
        <v>0.34</v>
      </c>
      <c r="I105" s="87">
        <f>F105*10.75/20</f>
        <v>21.5</v>
      </c>
      <c r="J105" s="87">
        <f>F105*51.4/20</f>
        <v>102.8</v>
      </c>
      <c r="K105" s="104" t="s">
        <v>83</v>
      </c>
      <c r="L105" s="145">
        <v>6.14</v>
      </c>
      <c r="M105" s="50"/>
    </row>
    <row r="106" spans="1:13" ht="15.75">
      <c r="A106" s="3"/>
      <c r="B106" s="4"/>
      <c r="C106" s="27"/>
      <c r="D106" s="28" t="s">
        <v>31</v>
      </c>
      <c r="E106" s="11" t="s">
        <v>40</v>
      </c>
      <c r="F106" s="87">
        <v>100</v>
      </c>
      <c r="G106" s="87">
        <f>F106*13.32/90</f>
        <v>14.8</v>
      </c>
      <c r="H106" s="87">
        <f>F106*11.16/90</f>
        <v>12.4</v>
      </c>
      <c r="I106" s="87">
        <f>F106*8.19/90</f>
        <v>9.1</v>
      </c>
      <c r="J106" s="87">
        <f>F106*186.3/90</f>
        <v>207</v>
      </c>
      <c r="K106" s="88">
        <v>44325</v>
      </c>
      <c r="L106" s="145">
        <v>68.98</v>
      </c>
      <c r="M106" s="50"/>
    </row>
    <row r="107" spans="1:13" ht="15.75">
      <c r="A107" s="3"/>
      <c r="B107" s="4"/>
      <c r="C107" s="27"/>
      <c r="D107" s="28" t="s">
        <v>32</v>
      </c>
      <c r="E107" s="12" t="s">
        <v>45</v>
      </c>
      <c r="F107" s="87">
        <v>180</v>
      </c>
      <c r="G107" s="87">
        <f>F107*6.63/150</f>
        <v>7.9560000000000004</v>
      </c>
      <c r="H107" s="87">
        <f>F107*4.44/150</f>
        <v>5.3280000000000003</v>
      </c>
      <c r="I107" s="87">
        <f>F107*28.8/150</f>
        <v>34.56</v>
      </c>
      <c r="J107" s="87">
        <f>F107*181.5/150</f>
        <v>217.8</v>
      </c>
      <c r="K107" s="104" t="s">
        <v>64</v>
      </c>
      <c r="L107" s="145">
        <v>11.23</v>
      </c>
      <c r="M107" s="50"/>
    </row>
    <row r="108" spans="1:13" ht="15.75">
      <c r="A108" s="3"/>
      <c r="B108" s="4"/>
      <c r="C108" s="27"/>
      <c r="D108" s="28" t="s">
        <v>87</v>
      </c>
      <c r="E108" s="39" t="s">
        <v>109</v>
      </c>
      <c r="F108" s="85">
        <v>200</v>
      </c>
      <c r="G108" s="85">
        <v>1</v>
      </c>
      <c r="H108" s="85">
        <v>0</v>
      </c>
      <c r="I108" s="85">
        <v>27.4</v>
      </c>
      <c r="J108" s="85">
        <v>114</v>
      </c>
      <c r="K108" s="104" t="s">
        <v>110</v>
      </c>
      <c r="L108" s="145">
        <v>12.1</v>
      </c>
      <c r="M108" s="50"/>
    </row>
    <row r="109" spans="1:13" ht="15.75">
      <c r="A109" s="3"/>
      <c r="B109" s="4"/>
      <c r="C109" s="27"/>
      <c r="D109" s="28" t="s">
        <v>37</v>
      </c>
      <c r="E109" s="11" t="s">
        <v>128</v>
      </c>
      <c r="F109" s="87">
        <v>31</v>
      </c>
      <c r="G109" s="87">
        <f>SUM(F109*1.68/30)</f>
        <v>1.736</v>
      </c>
      <c r="H109" s="87">
        <f>SUM(F109*0.33/30)</f>
        <v>0.34100000000000003</v>
      </c>
      <c r="I109" s="87">
        <f>SUM(F109*14.82/30)</f>
        <v>15.314</v>
      </c>
      <c r="J109" s="87">
        <f>SUM(F109*68.97/30)</f>
        <v>71.269000000000005</v>
      </c>
      <c r="K109" s="104" t="s">
        <v>39</v>
      </c>
      <c r="L109" s="145">
        <v>3.64</v>
      </c>
      <c r="M109" s="50"/>
    </row>
    <row r="110" spans="1:13" ht="15.75">
      <c r="A110" s="3"/>
      <c r="B110" s="4"/>
      <c r="C110" s="27"/>
      <c r="D110" s="29"/>
      <c r="E110" s="12"/>
      <c r="F110" s="87"/>
      <c r="G110" s="87"/>
      <c r="H110" s="87"/>
      <c r="I110" s="87"/>
      <c r="J110" s="87"/>
      <c r="K110" s="104"/>
      <c r="L110" s="145"/>
      <c r="M110" s="50"/>
    </row>
    <row r="111" spans="1:13" ht="15.75">
      <c r="A111" s="21"/>
      <c r="B111" s="22"/>
      <c r="C111" s="30"/>
      <c r="D111" s="31" t="s">
        <v>27</v>
      </c>
      <c r="E111" s="53"/>
      <c r="F111" s="54">
        <f t="shared" ref="F111:J111" si="24">SUM(F103:F110)</f>
        <v>901</v>
      </c>
      <c r="G111" s="54">
        <f t="shared" si="24"/>
        <v>36.512</v>
      </c>
      <c r="H111" s="54">
        <f t="shared" si="24"/>
        <v>33.809000000000005</v>
      </c>
      <c r="I111" s="54">
        <f>SUM(I103:I110)-0.01</f>
        <v>137.34733333333335</v>
      </c>
      <c r="J111" s="54">
        <f t="shared" si="24"/>
        <v>999.46900000000005</v>
      </c>
      <c r="K111" s="71"/>
      <c r="L111" s="139">
        <f>SUM(L103:L110)</f>
        <v>167.04999999999995</v>
      </c>
      <c r="M111" s="50"/>
    </row>
    <row r="112" spans="1:13" ht="16.5" thickBot="1">
      <c r="A112" s="23">
        <f>A96</f>
        <v>2</v>
      </c>
      <c r="B112" s="24">
        <f>B96</f>
        <v>1</v>
      </c>
      <c r="C112" s="170" t="s">
        <v>38</v>
      </c>
      <c r="D112" s="171"/>
      <c r="E112" s="57"/>
      <c r="F112" s="59">
        <f>F102+F111</f>
        <v>1461</v>
      </c>
      <c r="G112" s="59">
        <f>G102+G111</f>
        <v>59.777000000000001</v>
      </c>
      <c r="H112" s="59">
        <f>H102+H111</f>
        <v>57.534000000000006</v>
      </c>
      <c r="I112" s="59">
        <f>I102+I111</f>
        <v>245.40633333333335</v>
      </c>
      <c r="J112" s="59">
        <f>J102+J111</f>
        <v>1738.4900000000002</v>
      </c>
      <c r="K112" s="72"/>
      <c r="L112" s="140">
        <f>L102+L111</f>
        <v>314.86999999999995</v>
      </c>
      <c r="M112" s="50"/>
    </row>
    <row r="113" spans="1:16" ht="47.25">
      <c r="A113" s="7">
        <v>2</v>
      </c>
      <c r="B113" s="4">
        <v>2</v>
      </c>
      <c r="C113" s="25" t="s">
        <v>21</v>
      </c>
      <c r="D113" s="26" t="s">
        <v>22</v>
      </c>
      <c r="E113" s="11" t="s">
        <v>89</v>
      </c>
      <c r="F113" s="87">
        <v>270</v>
      </c>
      <c r="G113" s="87">
        <f>F113*30.42/180</f>
        <v>45.629999999999995</v>
      </c>
      <c r="H113" s="87">
        <f>F113*17.28/180</f>
        <v>25.92</v>
      </c>
      <c r="I113" s="87">
        <f>F113*23.76/180</f>
        <v>35.64</v>
      </c>
      <c r="J113" s="87">
        <f>F113*372.6/180</f>
        <v>558.9</v>
      </c>
      <c r="K113" s="86">
        <v>4443</v>
      </c>
      <c r="L113" s="135">
        <v>110.03</v>
      </c>
      <c r="M113" s="50"/>
      <c r="P113" s="43">
        <v>23.76</v>
      </c>
    </row>
    <row r="114" spans="1:16" ht="15.75">
      <c r="A114" s="7"/>
      <c r="B114" s="4"/>
      <c r="C114" s="27"/>
      <c r="D114" s="28" t="s">
        <v>35</v>
      </c>
      <c r="E114" s="11" t="s">
        <v>63</v>
      </c>
      <c r="F114" s="87">
        <v>70</v>
      </c>
      <c r="G114" s="87">
        <f>F114*4.48/70</f>
        <v>4.4800000000000004</v>
      </c>
      <c r="H114" s="87">
        <f>F114*10.78/70</f>
        <v>10.78</v>
      </c>
      <c r="I114" s="87">
        <f>F114*27.3/70</f>
        <v>27.3</v>
      </c>
      <c r="J114" s="87">
        <f>F114*224/70</f>
        <v>224</v>
      </c>
      <c r="K114" s="88">
        <v>44209</v>
      </c>
      <c r="L114" s="136">
        <v>27.33</v>
      </c>
      <c r="M114" s="50"/>
    </row>
    <row r="115" spans="1:16" ht="15.75">
      <c r="A115" s="7"/>
      <c r="B115" s="4"/>
      <c r="C115" s="27"/>
      <c r="D115" s="28" t="s">
        <v>23</v>
      </c>
      <c r="E115" s="11" t="s">
        <v>61</v>
      </c>
      <c r="F115" s="11">
        <v>200</v>
      </c>
      <c r="G115" s="87">
        <v>0.2</v>
      </c>
      <c r="H115" s="87">
        <v>0</v>
      </c>
      <c r="I115" s="87">
        <v>13.7</v>
      </c>
      <c r="J115" s="87">
        <v>56</v>
      </c>
      <c r="K115" s="88" t="s">
        <v>62</v>
      </c>
      <c r="L115" s="136">
        <v>3.83</v>
      </c>
      <c r="M115" s="50"/>
    </row>
    <row r="116" spans="1:16" ht="15.75">
      <c r="A116" s="7"/>
      <c r="B116" s="4"/>
      <c r="C116" s="27"/>
      <c r="D116" s="28" t="s">
        <v>37</v>
      </c>
      <c r="E116" s="11" t="s">
        <v>128</v>
      </c>
      <c r="F116" s="87">
        <v>56</v>
      </c>
      <c r="G116" s="87">
        <f>SUM(F116*2.8/50)</f>
        <v>3.1359999999999997</v>
      </c>
      <c r="H116" s="87">
        <f>SUM(F116*0.55/50)</f>
        <v>0.6160000000000001</v>
      </c>
      <c r="I116" s="87">
        <f>SUM(F116*24.7/50)</f>
        <v>27.664000000000001</v>
      </c>
      <c r="J116" s="87">
        <f>SUM(F116*114.95/50)</f>
        <v>128.744</v>
      </c>
      <c r="K116" s="88" t="s">
        <v>25</v>
      </c>
      <c r="L116" s="136">
        <v>6.63</v>
      </c>
      <c r="M116" s="50"/>
    </row>
    <row r="117" spans="1:16" ht="15.75">
      <c r="A117" s="7"/>
      <c r="B117" s="4"/>
      <c r="C117" s="27"/>
      <c r="D117" s="29"/>
      <c r="E117" s="11"/>
      <c r="F117" s="87"/>
      <c r="G117" s="87"/>
      <c r="H117" s="87"/>
      <c r="I117" s="87"/>
      <c r="J117" s="87"/>
      <c r="K117" s="88"/>
      <c r="L117" s="136"/>
      <c r="M117" s="50"/>
    </row>
    <row r="118" spans="1:16" ht="15.75">
      <c r="A118" s="7"/>
      <c r="B118" s="4"/>
      <c r="C118" s="27"/>
      <c r="D118" s="29"/>
      <c r="E118" s="51"/>
      <c r="F118" s="58"/>
      <c r="G118" s="58"/>
      <c r="H118" s="58"/>
      <c r="I118" s="58"/>
      <c r="J118" s="58"/>
      <c r="K118" s="41"/>
      <c r="L118" s="136"/>
      <c r="M118" s="50"/>
    </row>
    <row r="119" spans="1:16" ht="15.75">
      <c r="A119" s="33"/>
      <c r="B119" s="22"/>
      <c r="C119" s="30"/>
      <c r="D119" s="31" t="s">
        <v>27</v>
      </c>
      <c r="E119" s="53"/>
      <c r="F119" s="54">
        <f>SUM(F113:F118)</f>
        <v>596</v>
      </c>
      <c r="G119" s="54">
        <f>SUM(G113:G118)</f>
        <v>53.446000000000005</v>
      </c>
      <c r="H119" s="54">
        <f>SUM(H113:H118)</f>
        <v>37.316000000000003</v>
      </c>
      <c r="I119" s="54">
        <f>SUM(I113:I118)</f>
        <v>104.304</v>
      </c>
      <c r="J119" s="54">
        <f>SUM(J113:J118)</f>
        <v>967.64400000000001</v>
      </c>
      <c r="K119" s="71"/>
      <c r="L119" s="139">
        <f>SUM(L113:L118)</f>
        <v>147.82000000000002</v>
      </c>
      <c r="M119" s="50"/>
    </row>
    <row r="120" spans="1:16" ht="15.75">
      <c r="A120" s="6">
        <f>A113</f>
        <v>2</v>
      </c>
      <c r="B120" s="6">
        <f>B113</f>
        <v>2</v>
      </c>
      <c r="C120" s="32" t="s">
        <v>28</v>
      </c>
      <c r="D120" s="28" t="s">
        <v>29</v>
      </c>
      <c r="E120" s="12" t="s">
        <v>66</v>
      </c>
      <c r="F120" s="87">
        <v>100</v>
      </c>
      <c r="G120" s="87">
        <f>F120*1.3/100</f>
        <v>1.3</v>
      </c>
      <c r="H120" s="87">
        <f>F120*8.9/100</f>
        <v>8.9</v>
      </c>
      <c r="I120" s="87">
        <f>F120*6.7/100</f>
        <v>6.7</v>
      </c>
      <c r="J120" s="87">
        <f>F120*112/100</f>
        <v>112</v>
      </c>
      <c r="K120" s="88">
        <v>72</v>
      </c>
      <c r="L120" s="136">
        <v>17.82</v>
      </c>
      <c r="M120" s="50"/>
    </row>
    <row r="121" spans="1:16" ht="31.5">
      <c r="A121" s="7"/>
      <c r="B121" s="4"/>
      <c r="C121" s="27"/>
      <c r="D121" s="28" t="s">
        <v>30</v>
      </c>
      <c r="E121" s="36" t="s">
        <v>165</v>
      </c>
      <c r="F121" s="87">
        <v>250</v>
      </c>
      <c r="G121" s="87">
        <f>F121*4.4/250</f>
        <v>4.4000000000000004</v>
      </c>
      <c r="H121" s="87">
        <f>F121*7.1/250</f>
        <v>7.1</v>
      </c>
      <c r="I121" s="87">
        <f>F121*17.2/250</f>
        <v>17.2</v>
      </c>
      <c r="J121" s="87">
        <f>F121*150.6/250</f>
        <v>150.6</v>
      </c>
      <c r="K121" s="88">
        <v>44502</v>
      </c>
      <c r="L121" s="136">
        <v>34.71</v>
      </c>
      <c r="M121" s="50"/>
    </row>
    <row r="122" spans="1:16" ht="31.5">
      <c r="A122" s="7"/>
      <c r="B122" s="4"/>
      <c r="C122" s="27"/>
      <c r="D122" s="28" t="s">
        <v>31</v>
      </c>
      <c r="E122" s="40" t="s">
        <v>104</v>
      </c>
      <c r="F122" s="84">
        <v>104</v>
      </c>
      <c r="G122" s="87">
        <f>F122*11.7/90</f>
        <v>13.52</v>
      </c>
      <c r="H122" s="87">
        <f>F122*11.61/90</f>
        <v>13.416</v>
      </c>
      <c r="I122" s="87">
        <f>F122*5.76/90</f>
        <v>6.6559999999999997</v>
      </c>
      <c r="J122" s="87">
        <f>F122*174.6/90</f>
        <v>201.75999999999996</v>
      </c>
      <c r="K122" s="104" t="s">
        <v>107</v>
      </c>
      <c r="L122" s="136">
        <v>79.78</v>
      </c>
      <c r="M122" s="50"/>
    </row>
    <row r="123" spans="1:16" ht="15.75">
      <c r="A123" s="7"/>
      <c r="B123" s="4"/>
      <c r="C123" s="27"/>
      <c r="D123" s="28" t="s">
        <v>32</v>
      </c>
      <c r="E123" s="40" t="s">
        <v>33</v>
      </c>
      <c r="F123" s="84">
        <v>200</v>
      </c>
      <c r="G123" s="87">
        <f>F123*5.33/150-0.01</f>
        <v>7.0966666666666667</v>
      </c>
      <c r="H123" s="87">
        <f>F123*3/150</f>
        <v>4</v>
      </c>
      <c r="I123" s="87">
        <f>F123*32.4/150</f>
        <v>43.2</v>
      </c>
      <c r="J123" s="87">
        <f>F123*177.75/150</f>
        <v>237</v>
      </c>
      <c r="K123" s="104" t="s">
        <v>69</v>
      </c>
      <c r="L123" s="136">
        <v>12.45</v>
      </c>
      <c r="M123" s="50"/>
    </row>
    <row r="124" spans="1:16" ht="15.75">
      <c r="A124" s="7"/>
      <c r="B124" s="4"/>
      <c r="C124" s="27"/>
      <c r="D124" s="28" t="s">
        <v>87</v>
      </c>
      <c r="E124" s="40" t="s">
        <v>111</v>
      </c>
      <c r="F124" s="85">
        <v>200</v>
      </c>
      <c r="G124" s="85">
        <v>0.4</v>
      </c>
      <c r="H124" s="85">
        <v>0.4</v>
      </c>
      <c r="I124" s="85">
        <v>18.7</v>
      </c>
      <c r="J124" s="85">
        <v>80</v>
      </c>
      <c r="K124" s="104" t="s">
        <v>112</v>
      </c>
      <c r="L124" s="136">
        <v>14.89</v>
      </c>
      <c r="M124" s="50"/>
    </row>
    <row r="125" spans="1:16" ht="31.5">
      <c r="A125" s="7"/>
      <c r="B125" s="4"/>
      <c r="C125" s="27"/>
      <c r="D125" s="28" t="s">
        <v>35</v>
      </c>
      <c r="E125" s="11" t="s">
        <v>36</v>
      </c>
      <c r="F125" s="87">
        <v>30</v>
      </c>
      <c r="G125" s="87">
        <f>SUM(F125*2.37/30)</f>
        <v>2.37</v>
      </c>
      <c r="H125" s="87">
        <f>SUM(F125*0.3/30)</f>
        <v>0.3</v>
      </c>
      <c r="I125" s="87">
        <f>SUM(F125*14.49/30)</f>
        <v>14.49</v>
      </c>
      <c r="J125" s="87">
        <f>SUM(F125*70.14/30)</f>
        <v>70.14</v>
      </c>
      <c r="K125" s="104" t="s">
        <v>25</v>
      </c>
      <c r="L125" s="136">
        <v>3.84</v>
      </c>
      <c r="M125" s="50"/>
    </row>
    <row r="126" spans="1:16" ht="15.75">
      <c r="A126" s="7"/>
      <c r="B126" s="4"/>
      <c r="C126" s="27"/>
      <c r="D126" s="28" t="s">
        <v>37</v>
      </c>
      <c r="E126" s="40" t="s">
        <v>128</v>
      </c>
      <c r="F126" s="87">
        <v>30</v>
      </c>
      <c r="G126" s="87">
        <f>SUM(F126*1.68/30)</f>
        <v>1.68</v>
      </c>
      <c r="H126" s="87">
        <f>SUM(F126*0.33/30)</f>
        <v>0.33</v>
      </c>
      <c r="I126" s="87">
        <f>SUM(F126*14.82/30)</f>
        <v>14.82</v>
      </c>
      <c r="J126" s="87">
        <f>SUM(F126*68.97/30)</f>
        <v>68.97</v>
      </c>
      <c r="K126" s="104" t="s">
        <v>25</v>
      </c>
      <c r="L126" s="136">
        <v>3.55</v>
      </c>
      <c r="M126" s="50"/>
    </row>
    <row r="127" spans="1:16" ht="15.75">
      <c r="A127" s="7"/>
      <c r="B127" s="4"/>
      <c r="C127" s="27"/>
      <c r="D127" s="29"/>
      <c r="E127" s="51"/>
      <c r="F127" s="105"/>
      <c r="G127" s="105"/>
      <c r="H127" s="105"/>
      <c r="I127" s="105"/>
      <c r="J127" s="105"/>
      <c r="K127" s="88"/>
      <c r="L127" s="136"/>
      <c r="M127" s="50"/>
    </row>
    <row r="128" spans="1:16" ht="15.75">
      <c r="A128" s="7"/>
      <c r="B128" s="4"/>
      <c r="C128" s="27"/>
      <c r="D128" s="29"/>
      <c r="E128" s="51"/>
      <c r="F128" s="58"/>
      <c r="G128" s="58"/>
      <c r="H128" s="58"/>
      <c r="I128" s="58"/>
      <c r="J128" s="58"/>
      <c r="K128" s="41"/>
      <c r="L128" s="136"/>
      <c r="M128" s="50"/>
    </row>
    <row r="129" spans="1:13" ht="15.75">
      <c r="A129" s="33"/>
      <c r="B129" s="22"/>
      <c r="C129" s="30"/>
      <c r="D129" s="31" t="s">
        <v>27</v>
      </c>
      <c r="E129" s="53"/>
      <c r="F129" s="54">
        <f>SUM(F120:F128)</f>
        <v>914</v>
      </c>
      <c r="G129" s="54">
        <f>SUM(G120:G128)</f>
        <v>30.766666666666666</v>
      </c>
      <c r="H129" s="54">
        <f t="shared" ref="H129:J129" si="25">SUM(H120:H128)</f>
        <v>34.445999999999991</v>
      </c>
      <c r="I129" s="54">
        <f t="shared" si="25"/>
        <v>121.76599999999999</v>
      </c>
      <c r="J129" s="54">
        <f t="shared" si="25"/>
        <v>920.47</v>
      </c>
      <c r="K129" s="71"/>
      <c r="L129" s="139">
        <f>SUM(L120:L128)+0.01</f>
        <v>167.04999999999998</v>
      </c>
      <c r="M129" s="50"/>
    </row>
    <row r="130" spans="1:13" ht="16.5" thickBot="1">
      <c r="A130" s="34">
        <f>A113</f>
        <v>2</v>
      </c>
      <c r="B130" s="34">
        <f>B113</f>
        <v>2</v>
      </c>
      <c r="C130" s="170" t="s">
        <v>38</v>
      </c>
      <c r="D130" s="171"/>
      <c r="E130" s="57"/>
      <c r="F130" s="59">
        <f>F119+F129</f>
        <v>1510</v>
      </c>
      <c r="G130" s="59">
        <f>G119+G129+0.01</f>
        <v>84.222666666666683</v>
      </c>
      <c r="H130" s="59">
        <f t="shared" ref="H130" si="26">H119+H129</f>
        <v>71.762</v>
      </c>
      <c r="I130" s="59">
        <f t="shared" ref="I130" si="27">I119+I129</f>
        <v>226.07</v>
      </c>
      <c r="J130" s="59">
        <f t="shared" ref="J130" si="28">J119+J129</f>
        <v>1888.114</v>
      </c>
      <c r="K130" s="72"/>
      <c r="L130" s="140">
        <f>L119+L129</f>
        <v>314.87</v>
      </c>
      <c r="M130" s="50"/>
    </row>
    <row r="131" spans="1:13" ht="15.75">
      <c r="A131" s="1">
        <v>2</v>
      </c>
      <c r="B131" s="2">
        <v>3</v>
      </c>
      <c r="C131" s="25" t="s">
        <v>21</v>
      </c>
      <c r="D131" s="26" t="s">
        <v>31</v>
      </c>
      <c r="E131" s="12" t="s">
        <v>68</v>
      </c>
      <c r="F131" s="87">
        <v>106</v>
      </c>
      <c r="G131" s="87">
        <f>F131*10.44/90</f>
        <v>12.295999999999999</v>
      </c>
      <c r="H131" s="87">
        <f>F131*10.89/90</f>
        <v>12.826000000000002</v>
      </c>
      <c r="I131" s="87">
        <f>F131*10.08/90</f>
        <v>11.872</v>
      </c>
      <c r="J131" s="87">
        <f>F131*180/90</f>
        <v>212</v>
      </c>
      <c r="K131" s="104">
        <v>44236</v>
      </c>
      <c r="L131" s="135">
        <v>70.349999999999994</v>
      </c>
      <c r="M131" s="50"/>
    </row>
    <row r="132" spans="1:13" ht="31.5">
      <c r="A132" s="3"/>
      <c r="B132" s="4"/>
      <c r="C132" s="27"/>
      <c r="D132" s="29" t="s">
        <v>32</v>
      </c>
      <c r="E132" s="40" t="s">
        <v>113</v>
      </c>
      <c r="F132" s="85">
        <v>200</v>
      </c>
      <c r="G132" s="85">
        <f>F132*8.63/150</f>
        <v>11.506666666666668</v>
      </c>
      <c r="H132" s="85">
        <f>F132*6.83/150</f>
        <v>9.1066666666666674</v>
      </c>
      <c r="I132" s="85">
        <f>F132*37.8/150</f>
        <v>50.399999999999991</v>
      </c>
      <c r="J132" s="85">
        <f>F132*266.25/150</f>
        <v>355</v>
      </c>
      <c r="K132" s="88" t="s">
        <v>86</v>
      </c>
      <c r="L132" s="136">
        <v>24.08</v>
      </c>
      <c r="M132" s="50"/>
    </row>
    <row r="133" spans="1:13" ht="15.75">
      <c r="A133" s="3"/>
      <c r="B133" s="4"/>
      <c r="C133" s="27"/>
      <c r="D133" s="28" t="s">
        <v>23</v>
      </c>
      <c r="E133" s="40" t="s">
        <v>55</v>
      </c>
      <c r="F133" s="85">
        <v>200</v>
      </c>
      <c r="G133" s="85">
        <v>0.2</v>
      </c>
      <c r="H133" s="85">
        <v>0.1</v>
      </c>
      <c r="I133" s="85">
        <v>13.1</v>
      </c>
      <c r="J133" s="85">
        <v>54</v>
      </c>
      <c r="K133" s="88" t="s">
        <v>56</v>
      </c>
      <c r="L133" s="136">
        <v>17.53</v>
      </c>
      <c r="M133" s="50"/>
    </row>
    <row r="134" spans="1:13" ht="31.5">
      <c r="A134" s="3"/>
      <c r="B134" s="4"/>
      <c r="C134" s="27"/>
      <c r="D134" s="108" t="s">
        <v>35</v>
      </c>
      <c r="E134" s="11" t="s">
        <v>36</v>
      </c>
      <c r="F134" s="87">
        <v>43</v>
      </c>
      <c r="G134" s="87">
        <f>SUM(F134*2.37/30)</f>
        <v>3.3970000000000002</v>
      </c>
      <c r="H134" s="87">
        <f>SUM(F134*0.3/30)</f>
        <v>0.43</v>
      </c>
      <c r="I134" s="87">
        <f>SUM(F134*14.49/30)</f>
        <v>20.769000000000002</v>
      </c>
      <c r="J134" s="87">
        <f>SUM(F134*70.14/30)</f>
        <v>100.53400000000001</v>
      </c>
      <c r="K134" s="104" t="s">
        <v>25</v>
      </c>
      <c r="L134" s="144">
        <v>5.5</v>
      </c>
      <c r="M134" s="50"/>
    </row>
    <row r="135" spans="1:13" ht="15.75">
      <c r="A135" s="3"/>
      <c r="B135" s="4"/>
      <c r="C135" s="27"/>
      <c r="D135" s="108" t="s">
        <v>37</v>
      </c>
      <c r="E135" s="40" t="s">
        <v>128</v>
      </c>
      <c r="F135" s="87">
        <v>30</v>
      </c>
      <c r="G135" s="87">
        <f>SUM(F135*1.68/30)</f>
        <v>1.68</v>
      </c>
      <c r="H135" s="87">
        <f>SUM(F135*0.33/30)</f>
        <v>0.33</v>
      </c>
      <c r="I135" s="87">
        <f>SUM(F135*14.82/30)</f>
        <v>14.82</v>
      </c>
      <c r="J135" s="87">
        <f>SUM(F135*68.97/30)</f>
        <v>68.97</v>
      </c>
      <c r="K135" s="104" t="s">
        <v>39</v>
      </c>
      <c r="L135" s="144">
        <v>3.55</v>
      </c>
      <c r="M135" s="50"/>
    </row>
    <row r="136" spans="1:13" ht="31.5">
      <c r="A136" s="3"/>
      <c r="B136" s="4"/>
      <c r="C136" s="27"/>
      <c r="D136" s="111"/>
      <c r="E136" s="114" t="s">
        <v>149</v>
      </c>
      <c r="F136" s="93">
        <v>34</v>
      </c>
      <c r="G136" s="93">
        <f>F136*3/100</f>
        <v>1.02</v>
      </c>
      <c r="H136" s="93">
        <f>F136*4.1/100</f>
        <v>1.3939999999999997</v>
      </c>
      <c r="I136" s="93">
        <f>F136*6.4/100</f>
        <v>2.1760000000000002</v>
      </c>
      <c r="J136" s="93">
        <f>F136*75/100</f>
        <v>25.5</v>
      </c>
      <c r="K136" s="103" t="s">
        <v>150</v>
      </c>
      <c r="L136" s="144">
        <v>26.8</v>
      </c>
      <c r="M136" s="50"/>
    </row>
    <row r="137" spans="1:13" ht="15.75">
      <c r="A137" s="3"/>
      <c r="B137" s="4"/>
      <c r="C137" s="27"/>
      <c r="D137" s="29"/>
      <c r="E137" s="112"/>
      <c r="F137" s="113"/>
      <c r="G137" s="113"/>
      <c r="H137" s="113"/>
      <c r="I137" s="113"/>
      <c r="J137" s="113"/>
      <c r="K137" s="92"/>
      <c r="L137" s="136"/>
      <c r="M137" s="50"/>
    </row>
    <row r="138" spans="1:13" ht="15.75">
      <c r="A138" s="21"/>
      <c r="B138" s="22"/>
      <c r="C138" s="30"/>
      <c r="D138" s="31" t="s">
        <v>27</v>
      </c>
      <c r="E138" s="53"/>
      <c r="F138" s="62">
        <f>SUM(F131:F137)</f>
        <v>613</v>
      </c>
      <c r="G138" s="54">
        <f>SUM(G131:G137)-0.01</f>
        <v>30.089666666666666</v>
      </c>
      <c r="H138" s="54">
        <f>SUM(H131:H137)-0.01</f>
        <v>24.176666666666666</v>
      </c>
      <c r="I138" s="54">
        <f t="shared" ref="I138:J138" si="29">SUM(I131:I137)</f>
        <v>113.13699999999999</v>
      </c>
      <c r="J138" s="54">
        <f t="shared" si="29"/>
        <v>816.00400000000002</v>
      </c>
      <c r="K138" s="71"/>
      <c r="L138" s="139">
        <f>SUM(L131:L137)+0.01</f>
        <v>147.82</v>
      </c>
      <c r="M138" s="50"/>
    </row>
    <row r="139" spans="1:13" ht="15.75">
      <c r="A139" s="5">
        <f>A131</f>
        <v>2</v>
      </c>
      <c r="B139" s="6">
        <f>B131</f>
        <v>3</v>
      </c>
      <c r="C139" s="32" t="s">
        <v>28</v>
      </c>
      <c r="D139" s="28" t="s">
        <v>29</v>
      </c>
      <c r="E139" s="55" t="s">
        <v>114</v>
      </c>
      <c r="F139" s="85">
        <v>100</v>
      </c>
      <c r="G139" s="85">
        <f>F139*3.06/60</f>
        <v>5.0999999999999996</v>
      </c>
      <c r="H139" s="85">
        <f>F139*9.36/60</f>
        <v>15.6</v>
      </c>
      <c r="I139" s="85">
        <f>F139*8.1/60</f>
        <v>13.5</v>
      </c>
      <c r="J139" s="85">
        <f>F139*128.76/60</f>
        <v>214.6</v>
      </c>
      <c r="K139" s="88" t="s">
        <v>115</v>
      </c>
      <c r="L139" s="136">
        <v>12.86</v>
      </c>
      <c r="M139" s="50"/>
    </row>
    <row r="140" spans="1:13" ht="47.25">
      <c r="A140" s="3"/>
      <c r="B140" s="4"/>
      <c r="C140" s="27"/>
      <c r="D140" s="28" t="s">
        <v>30</v>
      </c>
      <c r="E140" s="39" t="s">
        <v>166</v>
      </c>
      <c r="F140" s="85">
        <v>250</v>
      </c>
      <c r="G140" s="85">
        <f>F140*3.8/250</f>
        <v>3.8</v>
      </c>
      <c r="H140" s="85">
        <f>F140*5.8/250</f>
        <v>5.8</v>
      </c>
      <c r="I140" s="85">
        <f>F140*8.6/250</f>
        <v>8.6</v>
      </c>
      <c r="J140" s="85">
        <f>F140*102.6/250</f>
        <v>102.6</v>
      </c>
      <c r="K140" s="104">
        <v>44379</v>
      </c>
      <c r="L140" s="136">
        <v>26.31</v>
      </c>
      <c r="M140" s="50"/>
    </row>
    <row r="141" spans="1:13" ht="15.75">
      <c r="A141" s="3"/>
      <c r="B141" s="4"/>
      <c r="C141" s="27"/>
      <c r="D141" s="28" t="s">
        <v>31</v>
      </c>
      <c r="E141" s="39" t="s">
        <v>67</v>
      </c>
      <c r="F141" s="85">
        <v>105</v>
      </c>
      <c r="G141" s="85">
        <f>F141*10.07/100</f>
        <v>10.573500000000001</v>
      </c>
      <c r="H141" s="85">
        <f>F141*7.08/100</f>
        <v>7.4340000000000002</v>
      </c>
      <c r="I141" s="85">
        <f>F141*9.05/100</f>
        <v>9.5025000000000013</v>
      </c>
      <c r="J141" s="85">
        <f>F141*140.77/100</f>
        <v>147.80850000000001</v>
      </c>
      <c r="K141" s="106" t="s">
        <v>116</v>
      </c>
      <c r="L141" s="136">
        <v>88.36</v>
      </c>
      <c r="M141" s="50"/>
    </row>
    <row r="142" spans="1:13" ht="15.75">
      <c r="A142" s="3"/>
      <c r="B142" s="4"/>
      <c r="C142" s="27"/>
      <c r="D142" s="28" t="s">
        <v>32</v>
      </c>
      <c r="E142" s="39" t="s">
        <v>51</v>
      </c>
      <c r="F142" s="87">
        <v>180</v>
      </c>
      <c r="G142" s="87">
        <f>F142*3.17/150</f>
        <v>3.8040000000000003</v>
      </c>
      <c r="H142" s="87">
        <f>F142*3.6/150</f>
        <v>4.32</v>
      </c>
      <c r="I142" s="87">
        <f>F142*20.4/150</f>
        <v>24.479999999999997</v>
      </c>
      <c r="J142" s="87">
        <f>F142*128/150</f>
        <v>153.6</v>
      </c>
      <c r="K142" s="88" t="s">
        <v>117</v>
      </c>
      <c r="L142" s="136">
        <v>24.25</v>
      </c>
      <c r="M142" s="50"/>
    </row>
    <row r="143" spans="1:13" ht="15.75">
      <c r="A143" s="3"/>
      <c r="B143" s="4"/>
      <c r="C143" s="27"/>
      <c r="D143" s="28" t="s">
        <v>87</v>
      </c>
      <c r="E143" s="39" t="s">
        <v>46</v>
      </c>
      <c r="F143" s="85">
        <v>200</v>
      </c>
      <c r="G143" s="85">
        <v>0</v>
      </c>
      <c r="H143" s="85">
        <v>0</v>
      </c>
      <c r="I143" s="85">
        <v>27.8</v>
      </c>
      <c r="J143" s="85">
        <v>111</v>
      </c>
      <c r="K143" s="88" t="s">
        <v>118</v>
      </c>
      <c r="L143" s="136">
        <v>5.63</v>
      </c>
      <c r="M143" s="50"/>
    </row>
    <row r="144" spans="1:13" ht="31.5">
      <c r="A144" s="3"/>
      <c r="B144" s="4"/>
      <c r="C144" s="27"/>
      <c r="D144" s="28" t="s">
        <v>35</v>
      </c>
      <c r="E144" s="11" t="s">
        <v>36</v>
      </c>
      <c r="F144" s="87">
        <v>43</v>
      </c>
      <c r="G144" s="87">
        <f>SUM(F144*2.37/30)</f>
        <v>3.3970000000000002</v>
      </c>
      <c r="H144" s="87">
        <f>SUM(F144*0.3/30)</f>
        <v>0.43</v>
      </c>
      <c r="I144" s="87">
        <f>SUM(F144*14.49/30)</f>
        <v>20.769000000000002</v>
      </c>
      <c r="J144" s="87">
        <f>SUM(F144*70.14/30)</f>
        <v>100.53400000000001</v>
      </c>
      <c r="K144" s="104" t="s">
        <v>25</v>
      </c>
      <c r="L144" s="136">
        <v>5.5</v>
      </c>
      <c r="M144" s="50"/>
    </row>
    <row r="145" spans="1:13" ht="15.75">
      <c r="A145" s="3"/>
      <c r="B145" s="4"/>
      <c r="C145" s="27"/>
      <c r="D145" s="28" t="s">
        <v>37</v>
      </c>
      <c r="E145" s="40" t="s">
        <v>128</v>
      </c>
      <c r="F145" s="87">
        <v>35</v>
      </c>
      <c r="G145" s="87">
        <f>SUM(F145*1.68/30)</f>
        <v>1.96</v>
      </c>
      <c r="H145" s="87">
        <f>SUM(F145*0.33/30)</f>
        <v>0.38500000000000001</v>
      </c>
      <c r="I145" s="87">
        <f>SUM(F145*14.82/30)</f>
        <v>17.290000000000003</v>
      </c>
      <c r="J145" s="87">
        <f>SUM(F145*68.97/30)</f>
        <v>80.464999999999989</v>
      </c>
      <c r="K145" s="104" t="s">
        <v>39</v>
      </c>
      <c r="L145" s="136">
        <v>4.1399999999999997</v>
      </c>
      <c r="M145" s="50"/>
    </row>
    <row r="146" spans="1:13" ht="15.75">
      <c r="A146" s="3"/>
      <c r="B146" s="4"/>
      <c r="C146" s="27"/>
      <c r="D146" s="29"/>
      <c r="E146" s="51"/>
      <c r="F146" s="105"/>
      <c r="G146" s="105"/>
      <c r="H146" s="105"/>
      <c r="I146" s="105"/>
      <c r="J146" s="105"/>
      <c r="K146" s="88"/>
      <c r="L146" s="136"/>
      <c r="M146" s="50"/>
    </row>
    <row r="147" spans="1:13" ht="15.75">
      <c r="A147" s="21"/>
      <c r="B147" s="22"/>
      <c r="C147" s="30"/>
      <c r="D147" s="31" t="s">
        <v>27</v>
      </c>
      <c r="E147" s="53"/>
      <c r="F147" s="54">
        <f>SUM(F139:F146)</f>
        <v>913</v>
      </c>
      <c r="G147" s="54">
        <f>SUM(G139:G146)+0.01</f>
        <v>28.644500000000004</v>
      </c>
      <c r="H147" s="54">
        <f>SUM(H139:H146)</f>
        <v>33.968999999999994</v>
      </c>
      <c r="I147" s="54">
        <f>SUM(I139:I146)+0.01</f>
        <v>121.95150000000001</v>
      </c>
      <c r="J147" s="54">
        <f>SUM(J139:J146)</f>
        <v>910.60750000000007</v>
      </c>
      <c r="K147" s="71"/>
      <c r="L147" s="139">
        <f>SUM(L139:L146)</f>
        <v>167.04999999999998</v>
      </c>
      <c r="M147" s="50"/>
    </row>
    <row r="148" spans="1:13" ht="16.5" thickBot="1">
      <c r="A148" s="23">
        <f>A131</f>
        <v>2</v>
      </c>
      <c r="B148" s="24">
        <f>B131</f>
        <v>3</v>
      </c>
      <c r="C148" s="170" t="s">
        <v>38</v>
      </c>
      <c r="D148" s="174"/>
      <c r="E148" s="118"/>
      <c r="F148" s="119">
        <f>F138+F147</f>
        <v>1526</v>
      </c>
      <c r="G148" s="119">
        <f>G138+G147</f>
        <v>58.734166666666667</v>
      </c>
      <c r="H148" s="119">
        <f>H138+H147</f>
        <v>58.145666666666656</v>
      </c>
      <c r="I148" s="119">
        <f>I138+I147-0.01</f>
        <v>235.07850000000002</v>
      </c>
      <c r="J148" s="119">
        <f>J138+J147</f>
        <v>1726.6115</v>
      </c>
      <c r="K148" s="120"/>
      <c r="L148" s="140">
        <f>L138+L147</f>
        <v>314.87</v>
      </c>
      <c r="M148" s="50"/>
    </row>
    <row r="149" spans="1:13" ht="15.75">
      <c r="A149" s="37">
        <v>2</v>
      </c>
      <c r="B149" s="38">
        <v>4</v>
      </c>
      <c r="C149" s="25" t="s">
        <v>21</v>
      </c>
      <c r="D149" s="28" t="s">
        <v>32</v>
      </c>
      <c r="E149" s="39" t="s">
        <v>127</v>
      </c>
      <c r="F149" s="87">
        <v>180</v>
      </c>
      <c r="G149" s="87">
        <f>F149*3.25/150</f>
        <v>3.9</v>
      </c>
      <c r="H149" s="87">
        <f>F149*2.8/150</f>
        <v>3.3599999999999994</v>
      </c>
      <c r="I149" s="87">
        <f>F149*11.9/150</f>
        <v>14.28</v>
      </c>
      <c r="J149" s="87">
        <f>F149*87/150</f>
        <v>104.4</v>
      </c>
      <c r="K149" s="104">
        <v>44533</v>
      </c>
      <c r="L149" s="144">
        <v>19.27</v>
      </c>
      <c r="M149" s="50"/>
    </row>
    <row r="150" spans="1:13" ht="31.5">
      <c r="A150" s="3"/>
      <c r="B150" s="4"/>
      <c r="C150" s="27"/>
      <c r="D150" s="28" t="s">
        <v>31</v>
      </c>
      <c r="E150" s="40" t="s">
        <v>88</v>
      </c>
      <c r="F150" s="87">
        <v>100</v>
      </c>
      <c r="G150" s="87">
        <f>F150*11.61/90</f>
        <v>12.9</v>
      </c>
      <c r="H150" s="87">
        <f>F150*12.06/90</f>
        <v>13.4</v>
      </c>
      <c r="I150" s="87">
        <f>F150*13.14/90</f>
        <v>14.6</v>
      </c>
      <c r="J150" s="87">
        <f>F150*207.54/90</f>
        <v>230.6</v>
      </c>
      <c r="K150" s="103" t="s">
        <v>132</v>
      </c>
      <c r="L150" s="144">
        <v>96.24</v>
      </c>
      <c r="M150" s="50"/>
    </row>
    <row r="151" spans="1:13" ht="15.75">
      <c r="A151" s="3"/>
      <c r="B151" s="4"/>
      <c r="C151" s="27"/>
      <c r="D151" s="28" t="s">
        <v>23</v>
      </c>
      <c r="E151" s="39" t="s">
        <v>119</v>
      </c>
      <c r="F151" s="85">
        <v>200</v>
      </c>
      <c r="G151" s="85">
        <v>0.3</v>
      </c>
      <c r="H151" s="85">
        <v>0.1</v>
      </c>
      <c r="I151" s="85">
        <v>18.899999999999999</v>
      </c>
      <c r="J151" s="85">
        <v>78</v>
      </c>
      <c r="K151" s="103" t="s">
        <v>133</v>
      </c>
      <c r="L151" s="144">
        <v>8.76</v>
      </c>
      <c r="M151" s="50"/>
    </row>
    <row r="152" spans="1:13" ht="15.75">
      <c r="A152" s="3"/>
      <c r="B152" s="4"/>
      <c r="C152" s="27"/>
      <c r="D152" s="28" t="s">
        <v>35</v>
      </c>
      <c r="E152" s="114" t="s">
        <v>151</v>
      </c>
      <c r="F152" s="93">
        <v>50</v>
      </c>
      <c r="G152" s="93">
        <f>F152*3.2/50</f>
        <v>3.2</v>
      </c>
      <c r="H152" s="93">
        <f>F152*7.7/50</f>
        <v>7.7</v>
      </c>
      <c r="I152" s="93">
        <f>F152*19.5/50</f>
        <v>19.5</v>
      </c>
      <c r="J152" s="93">
        <f>F152*160/50</f>
        <v>160</v>
      </c>
      <c r="K152" s="103" t="s">
        <v>138</v>
      </c>
      <c r="L152" s="144">
        <v>19.52</v>
      </c>
      <c r="M152" s="50"/>
    </row>
    <row r="153" spans="1:13" ht="15.75">
      <c r="A153" s="3"/>
      <c r="B153" s="4"/>
      <c r="C153" s="27"/>
      <c r="D153" s="28" t="s">
        <v>37</v>
      </c>
      <c r="E153" s="11" t="s">
        <v>128</v>
      </c>
      <c r="F153" s="87">
        <v>34</v>
      </c>
      <c r="G153" s="87">
        <f>SUM(F153*1.68/30)</f>
        <v>1.9039999999999999</v>
      </c>
      <c r="H153" s="87">
        <f>SUM(F153*0.33/30)</f>
        <v>0.374</v>
      </c>
      <c r="I153" s="87">
        <f>SUM(F153*14.82/30)</f>
        <v>16.795999999999999</v>
      </c>
      <c r="J153" s="87">
        <f>SUM(F153*68.97/30)</f>
        <v>78.165999999999997</v>
      </c>
      <c r="K153" s="103" t="s">
        <v>39</v>
      </c>
      <c r="L153" s="144">
        <v>4.03</v>
      </c>
      <c r="M153" s="50"/>
    </row>
    <row r="154" spans="1:13" ht="15.75">
      <c r="A154" s="3"/>
      <c r="B154" s="4"/>
      <c r="C154" s="27"/>
      <c r="D154" s="28"/>
      <c r="E154" s="11"/>
      <c r="F154" s="87"/>
      <c r="G154" s="87"/>
      <c r="H154" s="87"/>
      <c r="I154" s="87"/>
      <c r="J154" s="87"/>
      <c r="K154" s="103"/>
      <c r="L154" s="144"/>
      <c r="M154" s="50"/>
    </row>
    <row r="155" spans="1:13" ht="15.75">
      <c r="A155" s="21"/>
      <c r="B155" s="22"/>
      <c r="C155" s="30"/>
      <c r="D155" s="97" t="s">
        <v>27</v>
      </c>
      <c r="E155" s="115"/>
      <c r="F155" s="116">
        <f t="shared" ref="F155:J155" si="30">SUM(F149:F154)</f>
        <v>564</v>
      </c>
      <c r="G155" s="116">
        <f t="shared" si="30"/>
        <v>22.204000000000001</v>
      </c>
      <c r="H155" s="116">
        <f>SUM(H149:H154)</f>
        <v>24.933999999999997</v>
      </c>
      <c r="I155" s="116">
        <f t="shared" si="30"/>
        <v>84.075999999999993</v>
      </c>
      <c r="J155" s="116">
        <f t="shared" si="30"/>
        <v>651.16599999999994</v>
      </c>
      <c r="K155" s="117"/>
      <c r="L155" s="139">
        <f>SUM(L149:L154)</f>
        <v>147.82</v>
      </c>
      <c r="M155" s="50"/>
    </row>
    <row r="156" spans="1:13" ht="47.25">
      <c r="A156" s="5">
        <v>2</v>
      </c>
      <c r="B156" s="6">
        <v>4</v>
      </c>
      <c r="C156" s="32" t="s">
        <v>28</v>
      </c>
      <c r="D156" s="28" t="s">
        <v>29</v>
      </c>
      <c r="E156" s="39" t="s">
        <v>158</v>
      </c>
      <c r="F156" s="85">
        <v>100</v>
      </c>
      <c r="G156" s="85">
        <f>F156*1.3/100</f>
        <v>1.3</v>
      </c>
      <c r="H156" s="85">
        <f>F156*6.1/100</f>
        <v>6.1</v>
      </c>
      <c r="I156" s="85">
        <f>F156*4.1/100</f>
        <v>4.0999999999999996</v>
      </c>
      <c r="J156" s="85">
        <f>F156*82/100</f>
        <v>82</v>
      </c>
      <c r="K156" s="90" t="s">
        <v>159</v>
      </c>
      <c r="L156" s="136">
        <v>38.979999999999997</v>
      </c>
      <c r="M156" s="50"/>
    </row>
    <row r="157" spans="1:13" ht="48" customHeight="1">
      <c r="A157" s="3"/>
      <c r="B157" s="4"/>
      <c r="C157" s="27"/>
      <c r="D157" s="28" t="s">
        <v>30</v>
      </c>
      <c r="E157" s="39" t="s">
        <v>167</v>
      </c>
      <c r="F157" s="85">
        <v>250</v>
      </c>
      <c r="G157" s="85">
        <f>F157*4.4/250</f>
        <v>4.4000000000000004</v>
      </c>
      <c r="H157" s="85">
        <f>F157*4.7/250</f>
        <v>4.7</v>
      </c>
      <c r="I157" s="85">
        <f>F157*31.5/250</f>
        <v>31.5</v>
      </c>
      <c r="J157" s="85">
        <f>F157*186.6/250</f>
        <v>186.6</v>
      </c>
      <c r="K157" s="90" t="s">
        <v>60</v>
      </c>
      <c r="L157" s="136">
        <v>16.48</v>
      </c>
      <c r="M157" s="50"/>
    </row>
    <row r="158" spans="1:13" ht="31.5">
      <c r="A158" s="3"/>
      <c r="B158" s="4"/>
      <c r="C158" s="27"/>
      <c r="D158" s="28" t="s">
        <v>31</v>
      </c>
      <c r="E158" s="39" t="s">
        <v>43</v>
      </c>
      <c r="F158" s="87">
        <v>100</v>
      </c>
      <c r="G158" s="87">
        <f>F158*17.19/90</f>
        <v>19.100000000000001</v>
      </c>
      <c r="H158" s="87">
        <f>F158*14.31/90</f>
        <v>15.9</v>
      </c>
      <c r="I158" s="87">
        <f>F158*0.18/90</f>
        <v>0.2</v>
      </c>
      <c r="J158" s="87">
        <f>F158*198/90</f>
        <v>220</v>
      </c>
      <c r="K158" s="90">
        <v>4232</v>
      </c>
      <c r="L158" s="136">
        <v>71.8</v>
      </c>
      <c r="M158" s="50"/>
    </row>
    <row r="159" spans="1:13" ht="15.75">
      <c r="A159" s="3"/>
      <c r="B159" s="4"/>
      <c r="C159" s="27"/>
      <c r="D159" s="28" t="s">
        <v>32</v>
      </c>
      <c r="E159" s="40" t="s">
        <v>120</v>
      </c>
      <c r="F159" s="85">
        <v>180</v>
      </c>
      <c r="G159" s="85">
        <f>F159*3.6/150</f>
        <v>4.32</v>
      </c>
      <c r="H159" s="85">
        <f>F159*5.4/150</f>
        <v>6.48</v>
      </c>
      <c r="I159" s="85">
        <f>F159*36.68/150</f>
        <v>44.015999999999998</v>
      </c>
      <c r="J159" s="85">
        <f>F159*210/150</f>
        <v>252</v>
      </c>
      <c r="K159" s="90" t="s">
        <v>122</v>
      </c>
      <c r="L159" s="136">
        <v>19.920000000000002</v>
      </c>
      <c r="M159" s="50"/>
    </row>
    <row r="160" spans="1:13" ht="15.75">
      <c r="A160" s="3"/>
      <c r="B160" s="4"/>
      <c r="C160" s="27"/>
      <c r="D160" s="28" t="s">
        <v>87</v>
      </c>
      <c r="E160" s="39" t="s">
        <v>121</v>
      </c>
      <c r="F160" s="85">
        <v>200</v>
      </c>
      <c r="G160" s="85">
        <v>0.7</v>
      </c>
      <c r="H160" s="85">
        <v>0</v>
      </c>
      <c r="I160" s="85">
        <v>21.1</v>
      </c>
      <c r="J160" s="85">
        <v>88</v>
      </c>
      <c r="K160" s="90" t="s">
        <v>123</v>
      </c>
      <c r="L160" s="136">
        <v>12.34</v>
      </c>
      <c r="M160" s="50"/>
    </row>
    <row r="161" spans="1:13" ht="31.5">
      <c r="A161" s="3"/>
      <c r="B161" s="4"/>
      <c r="C161" s="27"/>
      <c r="D161" s="28" t="s">
        <v>35</v>
      </c>
      <c r="E161" s="11" t="s">
        <v>36</v>
      </c>
      <c r="F161" s="87">
        <v>31</v>
      </c>
      <c r="G161" s="87">
        <f>SUM(F161*2.37/30)</f>
        <v>2.4489999999999998</v>
      </c>
      <c r="H161" s="87">
        <f>SUM(F161*0.3/30)</f>
        <v>0.30999999999999994</v>
      </c>
      <c r="I161" s="87">
        <f>SUM(F161*14.49/30)</f>
        <v>14.973000000000001</v>
      </c>
      <c r="J161" s="87">
        <f>SUM(F161*70.14/30)</f>
        <v>72.478000000000009</v>
      </c>
      <c r="K161" s="90" t="s">
        <v>25</v>
      </c>
      <c r="L161" s="136">
        <v>3.99</v>
      </c>
      <c r="M161" s="50"/>
    </row>
    <row r="162" spans="1:13" ht="15.75">
      <c r="A162" s="3"/>
      <c r="B162" s="4"/>
      <c r="C162" s="27"/>
      <c r="D162" s="28" t="s">
        <v>37</v>
      </c>
      <c r="E162" s="40" t="s">
        <v>128</v>
      </c>
      <c r="F162" s="87">
        <v>30</v>
      </c>
      <c r="G162" s="87">
        <f>SUM(F162*1.68/30)</f>
        <v>1.68</v>
      </c>
      <c r="H162" s="87">
        <f>SUM(F162*0.33/30)</f>
        <v>0.33</v>
      </c>
      <c r="I162" s="87">
        <f>SUM(F162*14.82/30)</f>
        <v>14.82</v>
      </c>
      <c r="J162" s="87">
        <f>SUM(F162*68.97/30)</f>
        <v>68.97</v>
      </c>
      <c r="K162" s="90" t="s">
        <v>39</v>
      </c>
      <c r="L162" s="136">
        <v>3.55</v>
      </c>
      <c r="M162" s="50"/>
    </row>
    <row r="163" spans="1:13" ht="15.75">
      <c r="A163" s="3"/>
      <c r="B163" s="4"/>
      <c r="C163" s="27"/>
      <c r="D163" s="29"/>
      <c r="E163" s="51"/>
      <c r="F163" s="105"/>
      <c r="G163" s="105"/>
      <c r="H163" s="105"/>
      <c r="I163" s="105"/>
      <c r="J163" s="105"/>
      <c r="K163" s="88"/>
      <c r="L163" s="136"/>
      <c r="M163" s="50"/>
    </row>
    <row r="164" spans="1:13" ht="15.75">
      <c r="A164" s="3"/>
      <c r="B164" s="4"/>
      <c r="C164" s="27"/>
      <c r="D164" s="29"/>
      <c r="E164" s="51"/>
      <c r="F164" s="58"/>
      <c r="G164" s="58"/>
      <c r="H164" s="58"/>
      <c r="I164" s="58"/>
      <c r="J164" s="58"/>
      <c r="K164" s="41"/>
      <c r="L164" s="136"/>
      <c r="M164" s="50"/>
    </row>
    <row r="165" spans="1:13" ht="15.75">
      <c r="A165" s="21"/>
      <c r="B165" s="22"/>
      <c r="C165" s="30"/>
      <c r="D165" s="31" t="s">
        <v>27</v>
      </c>
      <c r="E165" s="53"/>
      <c r="F165" s="54">
        <f>SUM(F156:F164)</f>
        <v>891</v>
      </c>
      <c r="G165" s="54">
        <f t="shared" ref="G165:J165" si="31">SUM(G156:G164)</f>
        <v>33.948999999999998</v>
      </c>
      <c r="H165" s="54">
        <f t="shared" si="31"/>
        <v>33.820000000000007</v>
      </c>
      <c r="I165" s="54">
        <f>SUM(I156:I164)-0.01</f>
        <v>130.69900000000001</v>
      </c>
      <c r="J165" s="54">
        <f t="shared" si="31"/>
        <v>970.048</v>
      </c>
      <c r="K165" s="71"/>
      <c r="L165" s="139">
        <f>SUM(L156:L164)-0.01</f>
        <v>167.05000000000004</v>
      </c>
      <c r="M165" s="50"/>
    </row>
    <row r="166" spans="1:13" ht="16.5" thickBot="1">
      <c r="A166" s="23">
        <v>2</v>
      </c>
      <c r="B166" s="24">
        <v>4</v>
      </c>
      <c r="C166" s="170" t="s">
        <v>38</v>
      </c>
      <c r="D166" s="171"/>
      <c r="E166" s="57"/>
      <c r="F166" s="59">
        <f>F155+F165</f>
        <v>1455</v>
      </c>
      <c r="G166" s="59">
        <f t="shared" ref="G166" si="32">G155+G165</f>
        <v>56.152999999999999</v>
      </c>
      <c r="H166" s="59">
        <f t="shared" ref="H166" si="33">H155+H165</f>
        <v>58.754000000000005</v>
      </c>
      <c r="I166" s="59">
        <f>I155+I165</f>
        <v>214.77500000000001</v>
      </c>
      <c r="J166" s="59">
        <f t="shared" ref="J166" si="34">J155+J165</f>
        <v>1621.2139999999999</v>
      </c>
      <c r="K166" s="72"/>
      <c r="L166" s="140">
        <f>L155+L165</f>
        <v>314.87</v>
      </c>
      <c r="M166" s="50"/>
    </row>
    <row r="167" spans="1:13" ht="15.75">
      <c r="A167" s="3">
        <v>2</v>
      </c>
      <c r="B167" s="4">
        <v>5</v>
      </c>
      <c r="C167" s="25" t="s">
        <v>21</v>
      </c>
      <c r="D167" s="26" t="s">
        <v>31</v>
      </c>
      <c r="E167" s="39" t="s">
        <v>65</v>
      </c>
      <c r="F167" s="85">
        <v>109</v>
      </c>
      <c r="G167" s="85">
        <f>F167*8.73/90</f>
        <v>10.573</v>
      </c>
      <c r="H167" s="85">
        <f>F167*12.42/90</f>
        <v>15.042</v>
      </c>
      <c r="I167" s="85">
        <f>F167*1.53/90</f>
        <v>1.8530000000000002</v>
      </c>
      <c r="J167" s="85">
        <f>F167*152.82/90</f>
        <v>185.08200000000002</v>
      </c>
      <c r="K167" s="104" t="s">
        <v>124</v>
      </c>
      <c r="L167" s="145">
        <v>75.989999999999995</v>
      </c>
      <c r="M167" s="50"/>
    </row>
    <row r="168" spans="1:13" ht="15.75">
      <c r="A168" s="3"/>
      <c r="B168" s="4"/>
      <c r="C168" s="27"/>
      <c r="D168" s="29" t="s">
        <v>32</v>
      </c>
      <c r="E168" s="11" t="s">
        <v>33</v>
      </c>
      <c r="F168" s="84">
        <v>180</v>
      </c>
      <c r="G168" s="87">
        <f>F168*5.33/150</f>
        <v>6.3959999999999999</v>
      </c>
      <c r="H168" s="87">
        <f>F168*3/150</f>
        <v>3.6</v>
      </c>
      <c r="I168" s="87">
        <f>F168*32.4/150</f>
        <v>38.880000000000003</v>
      </c>
      <c r="J168" s="87">
        <f>F168*177.75/150</f>
        <v>213.3</v>
      </c>
      <c r="K168" s="88" t="s">
        <v>69</v>
      </c>
      <c r="L168" s="145">
        <v>11.21</v>
      </c>
      <c r="M168" s="50"/>
    </row>
    <row r="169" spans="1:13" ht="15.75">
      <c r="A169" s="3"/>
      <c r="B169" s="4"/>
      <c r="C169" s="27"/>
      <c r="D169" s="28" t="s">
        <v>23</v>
      </c>
      <c r="E169" s="12" t="s">
        <v>41</v>
      </c>
      <c r="F169" s="87">
        <v>200</v>
      </c>
      <c r="G169" s="87">
        <v>0</v>
      </c>
      <c r="H169" s="87">
        <v>0</v>
      </c>
      <c r="I169" s="87">
        <v>12</v>
      </c>
      <c r="J169" s="87">
        <v>48</v>
      </c>
      <c r="K169" s="104" t="s">
        <v>42</v>
      </c>
      <c r="L169" s="145">
        <v>12.54</v>
      </c>
      <c r="M169" s="50"/>
    </row>
    <row r="170" spans="1:13" ht="15.75">
      <c r="A170" s="3"/>
      <c r="B170" s="4"/>
      <c r="C170" s="27"/>
      <c r="D170" s="28" t="s">
        <v>35</v>
      </c>
      <c r="E170" s="40" t="s">
        <v>26</v>
      </c>
      <c r="F170" s="84">
        <v>60</v>
      </c>
      <c r="G170" s="84">
        <f>F170*6.1/50</f>
        <v>7.32</v>
      </c>
      <c r="H170" s="84">
        <f>F170*3.7/50</f>
        <v>4.4400000000000004</v>
      </c>
      <c r="I170" s="84">
        <f>F170*17.5/50</f>
        <v>21</v>
      </c>
      <c r="J170" s="84">
        <f>F170*127.7/50</f>
        <v>153.24</v>
      </c>
      <c r="K170" s="88" t="s">
        <v>91</v>
      </c>
      <c r="L170" s="145">
        <v>41.69</v>
      </c>
      <c r="M170" s="50"/>
    </row>
    <row r="171" spans="1:13" ht="15.75">
      <c r="A171" s="3"/>
      <c r="B171" s="4"/>
      <c r="C171" s="27"/>
      <c r="D171" s="28" t="s">
        <v>37</v>
      </c>
      <c r="E171" s="11" t="s">
        <v>128</v>
      </c>
      <c r="F171" s="87">
        <v>54</v>
      </c>
      <c r="G171" s="87">
        <f>SUM(F171*2.8/50)</f>
        <v>3.0239999999999996</v>
      </c>
      <c r="H171" s="87">
        <f>SUM(F171*0.55/50)</f>
        <v>0.59400000000000008</v>
      </c>
      <c r="I171" s="87">
        <f>SUM(F171*24.7/50)</f>
        <v>26.675999999999998</v>
      </c>
      <c r="J171" s="87">
        <f>SUM(F171*114.95/50)</f>
        <v>124.146</v>
      </c>
      <c r="K171" s="104" t="s">
        <v>39</v>
      </c>
      <c r="L171" s="136">
        <v>6.39</v>
      </c>
      <c r="M171" s="50"/>
    </row>
    <row r="172" spans="1:13" ht="15.75">
      <c r="A172" s="3"/>
      <c r="B172" s="4"/>
      <c r="C172" s="27"/>
      <c r="D172" s="29"/>
      <c r="E172" s="12"/>
      <c r="F172" s="87"/>
      <c r="G172" s="87"/>
      <c r="H172" s="87"/>
      <c r="I172" s="87"/>
      <c r="J172" s="87"/>
      <c r="K172" s="88"/>
      <c r="L172" s="136"/>
      <c r="M172" s="50"/>
    </row>
    <row r="173" spans="1:13" ht="15.75">
      <c r="A173" s="21"/>
      <c r="B173" s="22"/>
      <c r="C173" s="30"/>
      <c r="D173" s="31" t="s">
        <v>27</v>
      </c>
      <c r="E173" s="53"/>
      <c r="F173" s="54">
        <f>SUM(F167:F172)</f>
        <v>603</v>
      </c>
      <c r="G173" s="54">
        <f>SUM(G167:G172)</f>
        <v>27.313000000000002</v>
      </c>
      <c r="H173" s="54">
        <f>SUM(H167:H172)</f>
        <v>23.676000000000002</v>
      </c>
      <c r="I173" s="54">
        <f>SUM(I167:I172)</f>
        <v>100.40900000000001</v>
      </c>
      <c r="J173" s="54">
        <f>SUM(J167:J172)</f>
        <v>723.76800000000003</v>
      </c>
      <c r="K173" s="71"/>
      <c r="L173" s="139">
        <f>SUM(L167:L172)</f>
        <v>147.81999999999996</v>
      </c>
      <c r="M173" s="50"/>
    </row>
    <row r="174" spans="1:13" ht="47.25">
      <c r="A174" s="5">
        <v>2</v>
      </c>
      <c r="B174" s="6">
        <v>5</v>
      </c>
      <c r="C174" s="32" t="s">
        <v>28</v>
      </c>
      <c r="D174" s="28" t="s">
        <v>29</v>
      </c>
      <c r="E174" s="39" t="s">
        <v>125</v>
      </c>
      <c r="F174" s="85">
        <v>100</v>
      </c>
      <c r="G174" s="85">
        <f>F174*2.16/60</f>
        <v>3.6</v>
      </c>
      <c r="H174" s="85">
        <f>F174*4.5/60</f>
        <v>7.5</v>
      </c>
      <c r="I174" s="85">
        <f>F174*9.9/60</f>
        <v>16.5</v>
      </c>
      <c r="J174" s="85">
        <f>F174*88.8/60</f>
        <v>148</v>
      </c>
      <c r="K174" s="106" t="s">
        <v>126</v>
      </c>
      <c r="L174" s="136">
        <v>16.489999999999998</v>
      </c>
      <c r="M174" s="50"/>
    </row>
    <row r="175" spans="1:13" ht="31.5">
      <c r="A175" s="3"/>
      <c r="B175" s="4"/>
      <c r="C175" s="32"/>
      <c r="D175" s="28" t="s">
        <v>30</v>
      </c>
      <c r="E175" s="12" t="s">
        <v>168</v>
      </c>
      <c r="F175" s="107">
        <v>250</v>
      </c>
      <c r="G175" s="107">
        <f>F175*4.22/250</f>
        <v>4.22</v>
      </c>
      <c r="H175" s="107">
        <f>F175*7.59/250</f>
        <v>7.59</v>
      </c>
      <c r="I175" s="107">
        <f>F175*13.84/250</f>
        <v>13.84</v>
      </c>
      <c r="J175" s="107">
        <f>F175*140.6/250</f>
        <v>140.6</v>
      </c>
      <c r="K175" s="104" t="s">
        <v>70</v>
      </c>
      <c r="L175" s="136">
        <v>36.619999999999997</v>
      </c>
      <c r="M175" s="50"/>
    </row>
    <row r="176" spans="1:13" ht="15.75">
      <c r="A176" s="3"/>
      <c r="B176" s="4"/>
      <c r="C176" s="27"/>
      <c r="D176" s="28" t="s">
        <v>31</v>
      </c>
      <c r="E176" s="11" t="s">
        <v>71</v>
      </c>
      <c r="F176" s="84">
        <v>105</v>
      </c>
      <c r="G176" s="87">
        <f>F176*11.7/90</f>
        <v>13.65</v>
      </c>
      <c r="H176" s="87">
        <f>F176*11.61/90</f>
        <v>13.545</v>
      </c>
      <c r="I176" s="87">
        <f>F176*5.76/90</f>
        <v>6.72</v>
      </c>
      <c r="J176" s="87">
        <f>F176*174.6/90</f>
        <v>203.7</v>
      </c>
      <c r="K176" s="89" t="s">
        <v>79</v>
      </c>
      <c r="L176" s="136">
        <v>84.09</v>
      </c>
      <c r="M176" s="50"/>
    </row>
    <row r="177" spans="1:13" ht="15.75">
      <c r="A177" s="3"/>
      <c r="B177" s="4"/>
      <c r="C177" s="27"/>
      <c r="D177" s="28" t="s">
        <v>32</v>
      </c>
      <c r="E177" s="12" t="s">
        <v>72</v>
      </c>
      <c r="F177" s="107">
        <v>190</v>
      </c>
      <c r="G177" s="107">
        <f>F177*2.48/150</f>
        <v>3.1413333333333333</v>
      </c>
      <c r="H177" s="107">
        <f>F177*3.98/150</f>
        <v>5.0413333333333332</v>
      </c>
      <c r="I177" s="107">
        <f>F177*24.6/150</f>
        <v>31.16</v>
      </c>
      <c r="J177" s="107">
        <f>F177*144/150</f>
        <v>182.4</v>
      </c>
      <c r="K177" s="104" t="s">
        <v>73</v>
      </c>
      <c r="L177" s="136">
        <v>15.57</v>
      </c>
      <c r="M177" s="50"/>
    </row>
    <row r="178" spans="1:13" ht="15.75">
      <c r="A178" s="3"/>
      <c r="B178" s="4"/>
      <c r="C178" s="27"/>
      <c r="D178" s="28" t="s">
        <v>87</v>
      </c>
      <c r="E178" s="11" t="s">
        <v>44</v>
      </c>
      <c r="F178" s="107">
        <v>200</v>
      </c>
      <c r="G178" s="107">
        <v>1</v>
      </c>
      <c r="H178" s="107">
        <v>0.1</v>
      </c>
      <c r="I178" s="107">
        <v>19.8</v>
      </c>
      <c r="J178" s="107">
        <v>84</v>
      </c>
      <c r="K178" s="104" t="s">
        <v>74</v>
      </c>
      <c r="L178" s="136">
        <v>6.66</v>
      </c>
      <c r="M178" s="50"/>
    </row>
    <row r="179" spans="1:13" ht="31.5">
      <c r="A179" s="3"/>
      <c r="B179" s="4"/>
      <c r="C179" s="27"/>
      <c r="D179" s="28" t="s">
        <v>35</v>
      </c>
      <c r="E179" s="11" t="s">
        <v>36</v>
      </c>
      <c r="F179" s="87">
        <v>30</v>
      </c>
      <c r="G179" s="87">
        <f>SUM(F179*2.37/30)</f>
        <v>2.37</v>
      </c>
      <c r="H179" s="87">
        <f>SUM(F179*0.3/30)</f>
        <v>0.3</v>
      </c>
      <c r="I179" s="87">
        <f>SUM(F179*14.49/30)</f>
        <v>14.49</v>
      </c>
      <c r="J179" s="87">
        <f>SUM(F179*70.14/30)</f>
        <v>70.14</v>
      </c>
      <c r="K179" s="104" t="s">
        <v>25</v>
      </c>
      <c r="L179" s="136">
        <v>3.84</v>
      </c>
      <c r="M179" s="50"/>
    </row>
    <row r="180" spans="1:13" ht="15.75">
      <c r="A180" s="3"/>
      <c r="B180" s="4"/>
      <c r="C180" s="27"/>
      <c r="D180" s="28" t="s">
        <v>37</v>
      </c>
      <c r="E180" s="11" t="s">
        <v>128</v>
      </c>
      <c r="F180" s="87">
        <v>32</v>
      </c>
      <c r="G180" s="87">
        <f>SUM(F180*1.68/30)</f>
        <v>1.792</v>
      </c>
      <c r="H180" s="87">
        <f>SUM(F180*0.33/30)</f>
        <v>0.35200000000000004</v>
      </c>
      <c r="I180" s="87">
        <f>SUM(F180*14.82/30)</f>
        <v>15.808</v>
      </c>
      <c r="J180" s="87">
        <f>SUM(F180*68.97/30)</f>
        <v>73.567999999999998</v>
      </c>
      <c r="K180" s="104" t="s">
        <v>39</v>
      </c>
      <c r="L180" s="136">
        <v>3.79</v>
      </c>
      <c r="M180" s="50"/>
    </row>
    <row r="181" spans="1:13" ht="15.75">
      <c r="A181" s="3"/>
      <c r="B181" s="4"/>
      <c r="C181" s="27"/>
      <c r="D181" s="29"/>
      <c r="E181" s="51"/>
      <c r="F181" s="105"/>
      <c r="G181" s="105"/>
      <c r="H181" s="105"/>
      <c r="I181" s="105"/>
      <c r="J181" s="105"/>
      <c r="K181" s="88"/>
      <c r="L181" s="136"/>
      <c r="M181" s="50"/>
    </row>
    <row r="182" spans="1:13" ht="15.75">
      <c r="A182" s="3"/>
      <c r="B182" s="4"/>
      <c r="C182" s="27"/>
      <c r="D182" s="29"/>
      <c r="E182" s="51"/>
      <c r="F182" s="105"/>
      <c r="G182" s="105"/>
      <c r="H182" s="105"/>
      <c r="I182" s="105"/>
      <c r="J182" s="105"/>
      <c r="K182" s="88"/>
      <c r="L182" s="136"/>
      <c r="M182" s="50"/>
    </row>
    <row r="183" spans="1:13" ht="15.75">
      <c r="A183" s="21"/>
      <c r="B183" s="22"/>
      <c r="C183" s="30"/>
      <c r="D183" s="31" t="s">
        <v>27</v>
      </c>
      <c r="E183" s="53"/>
      <c r="F183" s="54">
        <f>SUM(F174:F182)</f>
        <v>907</v>
      </c>
      <c r="G183" s="54">
        <f>SUM(G174:G182)</f>
        <v>29.773333333333333</v>
      </c>
      <c r="H183" s="54">
        <f>SUM(H174:H182)-0.01</f>
        <v>34.418333333333329</v>
      </c>
      <c r="I183" s="54">
        <f>SUM(I174:I182)</f>
        <v>118.31799999999998</v>
      </c>
      <c r="J183" s="54">
        <f>SUM(J174:J182)</f>
        <v>902.40800000000002</v>
      </c>
      <c r="K183" s="71"/>
      <c r="L183" s="139">
        <f>SUM(L174:L182)-0.01</f>
        <v>167.04999999999998</v>
      </c>
      <c r="M183" s="50"/>
    </row>
    <row r="184" spans="1:13" ht="16.5" thickBot="1">
      <c r="A184" s="63">
        <v>2</v>
      </c>
      <c r="B184" s="64">
        <v>5</v>
      </c>
      <c r="C184" s="175" t="s">
        <v>38</v>
      </c>
      <c r="D184" s="176"/>
      <c r="E184" s="57"/>
      <c r="F184" s="59">
        <f>F173+F183</f>
        <v>1510</v>
      </c>
      <c r="G184" s="59">
        <f>G173+G183-0.02</f>
        <v>57.066333333333333</v>
      </c>
      <c r="H184" s="59">
        <f>H173+H183+0.01</f>
        <v>58.104333333333329</v>
      </c>
      <c r="I184" s="59">
        <f>I173+I183</f>
        <v>218.72699999999998</v>
      </c>
      <c r="J184" s="59">
        <f>J173+J183</f>
        <v>1626.1759999999999</v>
      </c>
      <c r="K184" s="72"/>
      <c r="L184" s="140">
        <f>L173+L183</f>
        <v>314.86999999999995</v>
      </c>
      <c r="M184" s="50"/>
    </row>
    <row r="185" spans="1:13" ht="16.5" thickBot="1">
      <c r="A185" s="65"/>
      <c r="B185" s="66"/>
      <c r="C185" s="177" t="s">
        <v>75</v>
      </c>
      <c r="D185" s="177"/>
      <c r="E185" s="177"/>
      <c r="F185" s="83">
        <f>(F23+F40+F58+F77+F95+F112+F130+F148+F166+F184)/(IF(F23=0,0,1)+IF(F40=0,0,1)+IF(F58=0,0,1)+IF(F77=0,0,1)+IF(F95=0,0,1)+IF(F112=0,0,1)+IF(F130=0,0,1)+IF(F148=0,0,1)+IF(F166=0,0,1)+IF(F184=0,0,1))</f>
        <v>1500</v>
      </c>
      <c r="G185" s="83">
        <f>(G23+G40+G58+G77+G95+G112+G130+G148+G166+G184)/(IF(G23=0,0,1)+IF(G40=0,0,1)+IF(G58=0,0,1)+IF(G77=0,0,1)+IF(G95=0,0,1)+IF(G112=0,0,1)+IF(G130=0,0,1)+IF(G148=0,0,1)+IF(G166=0,0,1)+IF(G184=0,0,1))</f>
        <v>63.196683333333326</v>
      </c>
      <c r="H185" s="83">
        <f>(H23+H40+H58+H77+H95+H112+H130+H148+H166+H184)/(IF(H23=0,0,1)+IF(H40=0,0,1)+IF(H58=0,0,1)+IF(H77=0,0,1)+IF(H95=0,0,1)+IF(H112=0,0,1)+IF(H130=0,0,1)+IF(H148=0,0,1)+IF(H166=0,0,1)+IF(H184=0,0,1))</f>
        <v>61.651583333333335</v>
      </c>
      <c r="I185" s="83">
        <f>(I23+I40+I58+I77+I95+I112+I130+I148+I166+I184)/(IF(I23=0,0,1)+IF(I40=0,0,1)+IF(I58=0,0,1)+IF(I77=0,0,1)+IF(I95=0,0,1)+IF(I112=0,0,1)+IF(I130=0,0,1)+IF(I148=0,0,1)+IF(I166=0,0,1)+IF(I184=0,0,1))</f>
        <v>223.65950000000004</v>
      </c>
      <c r="J185" s="83">
        <f>(J23+J40+J58+J77+J95+J112+J130+J148+J166+J184)/(IF(J23=0,0,1)+IF(J40=0,0,1)+IF(J58=0,0,1)+IF(J77=0,0,1)+IF(J95=0,0,1)+IF(J112=0,0,1)+IF(J130=0,0,1)+IF(J148=0,0,1)+IF(J166=0,0,1)+IF(J184=0,0,1))</f>
        <v>1706.3391166666665</v>
      </c>
      <c r="K185" s="73"/>
      <c r="L185" s="146">
        <v>314.87</v>
      </c>
      <c r="M185" s="50"/>
    </row>
    <row r="186" spans="1:13">
      <c r="C186" s="67"/>
      <c r="D186" s="67"/>
      <c r="E186" s="78"/>
      <c r="F186" s="67"/>
      <c r="G186" s="67"/>
      <c r="H186" s="67"/>
      <c r="I186" s="67"/>
      <c r="J186" s="67"/>
      <c r="K186" s="123"/>
      <c r="L186" s="147"/>
      <c r="M186" s="50"/>
    </row>
    <row r="187" spans="1:13">
      <c r="C187" s="67"/>
      <c r="D187" s="67"/>
      <c r="E187" s="78"/>
      <c r="F187" s="67"/>
      <c r="G187" s="67"/>
      <c r="H187" s="67"/>
      <c r="I187" s="67"/>
      <c r="J187" s="67"/>
      <c r="K187" s="123"/>
      <c r="L187" s="147"/>
      <c r="M187" s="50"/>
    </row>
    <row r="188" spans="1:13">
      <c r="C188" s="67"/>
      <c r="D188" s="67"/>
      <c r="E188" s="78"/>
      <c r="F188" s="67"/>
      <c r="G188" s="67"/>
      <c r="H188" s="67"/>
      <c r="I188" s="67"/>
      <c r="J188" s="67"/>
      <c r="K188" s="123"/>
      <c r="L188" s="147"/>
      <c r="M188" s="50"/>
    </row>
    <row r="189" spans="1:13">
      <c r="C189" s="67"/>
      <c r="D189" s="67"/>
      <c r="E189" s="78"/>
      <c r="F189" s="67"/>
      <c r="G189" s="67"/>
      <c r="H189" s="67"/>
      <c r="I189" s="67"/>
      <c r="J189" s="67"/>
      <c r="K189" s="123"/>
      <c r="L189" s="147"/>
      <c r="M189" s="50"/>
    </row>
    <row r="190" spans="1:13">
      <c r="C190" s="67"/>
      <c r="D190" s="67"/>
      <c r="E190" s="78"/>
      <c r="F190" s="67"/>
      <c r="G190" s="67"/>
      <c r="H190" s="67"/>
      <c r="I190" s="67"/>
      <c r="J190" s="67"/>
      <c r="K190" s="123"/>
      <c r="L190" s="147"/>
      <c r="M190" s="50"/>
    </row>
    <row r="191" spans="1:13">
      <c r="C191" s="67"/>
      <c r="D191" s="67"/>
      <c r="E191" s="78"/>
      <c r="F191" s="67"/>
      <c r="G191" s="67"/>
      <c r="H191" s="67"/>
      <c r="I191" s="67"/>
      <c r="J191" s="67"/>
      <c r="K191" s="123"/>
      <c r="L191" s="147"/>
      <c r="M191" s="50"/>
    </row>
    <row r="192" spans="1:13">
      <c r="C192" s="67"/>
      <c r="D192" s="67"/>
      <c r="E192" s="78"/>
      <c r="F192" s="67"/>
      <c r="G192" s="67"/>
      <c r="H192" s="67"/>
      <c r="I192" s="67"/>
      <c r="J192" s="67"/>
      <c r="K192" s="123"/>
      <c r="L192" s="147"/>
      <c r="M192" s="50"/>
    </row>
    <row r="193" spans="3:13">
      <c r="C193" s="67"/>
      <c r="D193" s="67"/>
      <c r="E193" s="78"/>
      <c r="F193" s="67"/>
      <c r="G193" s="67"/>
      <c r="H193" s="67"/>
      <c r="I193" s="67"/>
      <c r="J193" s="67"/>
      <c r="K193" s="123"/>
      <c r="L193" s="147"/>
      <c r="M193" s="50"/>
    </row>
    <row r="194" spans="3:13">
      <c r="C194" s="67"/>
      <c r="D194" s="67"/>
      <c r="E194" s="78"/>
      <c r="F194" s="67"/>
      <c r="G194" s="67"/>
      <c r="H194" s="67"/>
      <c r="I194" s="67"/>
      <c r="J194" s="67"/>
      <c r="K194" s="123"/>
      <c r="L194" s="147"/>
      <c r="M194" s="50"/>
    </row>
    <row r="195" spans="3:13">
      <c r="C195" s="67"/>
      <c r="D195" s="67"/>
      <c r="E195" s="78"/>
      <c r="F195" s="67"/>
      <c r="G195" s="67"/>
      <c r="H195" s="67"/>
      <c r="I195" s="67"/>
      <c r="J195" s="67"/>
      <c r="K195" s="123"/>
      <c r="L195" s="147"/>
      <c r="M195" s="50"/>
    </row>
    <row r="196" spans="3:13">
      <c r="C196" s="67"/>
      <c r="D196" s="67"/>
      <c r="E196" s="79"/>
      <c r="F196" s="130"/>
      <c r="G196" s="130"/>
      <c r="H196" s="130"/>
      <c r="I196" s="130"/>
      <c r="J196" s="130"/>
      <c r="K196" s="124"/>
      <c r="L196" s="148"/>
      <c r="M196" s="68"/>
    </row>
    <row r="197" spans="3:13" ht="15.75">
      <c r="C197" s="67"/>
      <c r="D197" s="67"/>
      <c r="E197" s="80"/>
      <c r="F197" s="15"/>
      <c r="G197" s="16"/>
      <c r="H197" s="16"/>
      <c r="I197" s="16"/>
      <c r="J197" s="16"/>
      <c r="K197" s="35"/>
      <c r="L197" s="149"/>
      <c r="M197" s="69"/>
    </row>
    <row r="198" spans="3:13" ht="15.75">
      <c r="C198" s="67"/>
      <c r="D198" s="67"/>
      <c r="E198" s="81"/>
      <c r="F198" s="17"/>
      <c r="G198" s="16"/>
      <c r="H198" s="16"/>
      <c r="I198" s="16"/>
      <c r="J198" s="16"/>
      <c r="K198" s="35"/>
      <c r="L198" s="149"/>
      <c r="M198" s="69"/>
    </row>
    <row r="199" spans="3:13" ht="15.75">
      <c r="C199" s="67"/>
      <c r="D199" s="67"/>
      <c r="E199" s="18"/>
      <c r="F199" s="16"/>
      <c r="G199" s="16"/>
      <c r="H199" s="16"/>
      <c r="I199" s="16"/>
      <c r="J199" s="16"/>
      <c r="K199" s="35"/>
      <c r="L199" s="148"/>
      <c r="M199" s="68"/>
    </row>
    <row r="200" spans="3:13" ht="15.75">
      <c r="C200" s="67"/>
      <c r="D200" s="67"/>
      <c r="E200" s="18"/>
      <c r="F200" s="16"/>
      <c r="G200" s="16"/>
      <c r="H200" s="16"/>
      <c r="I200" s="16"/>
      <c r="J200" s="16"/>
      <c r="K200" s="35"/>
      <c r="L200" s="148"/>
      <c r="M200" s="68"/>
    </row>
    <row r="201" spans="3:13" ht="15.75">
      <c r="C201" s="67"/>
      <c r="D201" s="67"/>
      <c r="E201" s="18"/>
      <c r="F201" s="16"/>
      <c r="G201" s="16"/>
      <c r="H201" s="16"/>
      <c r="I201" s="16"/>
      <c r="J201" s="16"/>
      <c r="K201" s="35"/>
      <c r="L201" s="148"/>
      <c r="M201" s="68"/>
    </row>
    <row r="202" spans="3:13" ht="15.75">
      <c r="C202" s="67"/>
      <c r="D202" s="67"/>
      <c r="E202" s="18"/>
      <c r="F202" s="16"/>
      <c r="G202" s="16"/>
      <c r="H202" s="16"/>
      <c r="I202" s="16"/>
      <c r="J202" s="16"/>
      <c r="K202" s="35"/>
      <c r="L202" s="148"/>
      <c r="M202" s="68"/>
    </row>
    <row r="203" spans="3:13" ht="15.75">
      <c r="C203" s="67"/>
      <c r="D203" s="67"/>
      <c r="E203" s="19"/>
      <c r="F203" s="20"/>
      <c r="G203" s="16"/>
      <c r="H203" s="16"/>
      <c r="I203" s="16"/>
      <c r="J203" s="16"/>
      <c r="K203" s="124"/>
      <c r="L203" s="148"/>
      <c r="M203" s="68"/>
    </row>
    <row r="204" spans="3:13" ht="15.75">
      <c r="C204" s="67"/>
      <c r="D204" s="67"/>
      <c r="E204" s="18"/>
      <c r="F204" s="16"/>
      <c r="G204" s="16"/>
      <c r="H204" s="16"/>
      <c r="I204" s="16"/>
      <c r="J204" s="16"/>
      <c r="K204" s="74"/>
      <c r="L204" s="148"/>
      <c r="M204" s="68"/>
    </row>
    <row r="205" spans="3:13" ht="15.75">
      <c r="C205" s="67"/>
      <c r="D205" s="67"/>
      <c r="E205" s="18"/>
      <c r="F205" s="16"/>
      <c r="G205" s="16"/>
      <c r="H205" s="16"/>
      <c r="I205" s="16"/>
      <c r="J205" s="16"/>
      <c r="K205" s="74"/>
      <c r="L205" s="148"/>
      <c r="M205" s="68"/>
    </row>
    <row r="206" spans="3:13" ht="15.75">
      <c r="C206" s="67"/>
      <c r="D206" s="67"/>
      <c r="E206" s="18"/>
      <c r="F206" s="16"/>
      <c r="G206" s="16"/>
      <c r="H206" s="16"/>
      <c r="I206" s="16"/>
      <c r="J206" s="16"/>
      <c r="K206" s="74"/>
      <c r="L206" s="148"/>
      <c r="M206" s="68"/>
    </row>
    <row r="207" spans="3:13" ht="15.75">
      <c r="C207" s="67"/>
      <c r="D207" s="67"/>
      <c r="E207" s="18"/>
      <c r="F207" s="16"/>
      <c r="G207" s="16"/>
      <c r="H207" s="16"/>
      <c r="I207" s="16"/>
      <c r="J207" s="16"/>
      <c r="K207" s="74"/>
      <c r="L207" s="148"/>
      <c r="M207" s="68"/>
    </row>
    <row r="208" spans="3:13" ht="15.75">
      <c r="C208" s="67"/>
      <c r="D208" s="67"/>
      <c r="E208" s="18"/>
      <c r="F208" s="16"/>
      <c r="G208" s="16"/>
      <c r="H208" s="16"/>
      <c r="I208" s="16"/>
      <c r="J208" s="16"/>
      <c r="K208" s="74"/>
      <c r="L208" s="148"/>
      <c r="M208" s="68"/>
    </row>
    <row r="209" spans="3:13" ht="15.75">
      <c r="C209" s="67"/>
      <c r="D209" s="67"/>
      <c r="E209" s="15"/>
      <c r="F209" s="16"/>
      <c r="G209" s="16"/>
      <c r="H209" s="16"/>
      <c r="I209" s="16"/>
      <c r="J209" s="16"/>
      <c r="K209" s="35"/>
      <c r="L209" s="148"/>
      <c r="M209" s="68"/>
    </row>
    <row r="210" spans="3:13" ht="15.75">
      <c r="C210" s="67"/>
      <c r="D210" s="67"/>
      <c r="E210" s="15"/>
      <c r="F210" s="16"/>
      <c r="G210" s="16"/>
      <c r="H210" s="16"/>
      <c r="I210" s="16"/>
      <c r="J210" s="16"/>
      <c r="K210" s="74"/>
      <c r="L210" s="148"/>
      <c r="M210" s="68"/>
    </row>
    <row r="211" spans="3:13" ht="15.75">
      <c r="E211" s="9"/>
      <c r="F211" s="8"/>
      <c r="G211" s="8"/>
      <c r="H211" s="8"/>
      <c r="I211" s="8"/>
      <c r="J211" s="8"/>
      <c r="K211" s="125"/>
      <c r="L211" s="150"/>
      <c r="M211" s="70"/>
    </row>
    <row r="212" spans="3:13">
      <c r="E212" s="82"/>
      <c r="F212" s="131"/>
      <c r="G212" s="131"/>
      <c r="H212" s="131"/>
      <c r="I212" s="131"/>
      <c r="J212" s="131"/>
      <c r="K212" s="126"/>
      <c r="L212" s="150"/>
      <c r="M212" s="70"/>
    </row>
    <row r="213" spans="3:13">
      <c r="E213" s="82"/>
      <c r="F213" s="131"/>
      <c r="G213" s="131"/>
      <c r="H213" s="131"/>
      <c r="I213" s="131"/>
      <c r="J213" s="131"/>
      <c r="K213" s="126"/>
      <c r="L213" s="150"/>
      <c r="M213" s="70"/>
    </row>
  </sheetData>
  <mergeCells count="15">
    <mergeCell ref="C148:D148"/>
    <mergeCell ref="C166:D166"/>
    <mergeCell ref="C184:D184"/>
    <mergeCell ref="C185:E185"/>
    <mergeCell ref="C58:D58"/>
    <mergeCell ref="C77:D77"/>
    <mergeCell ref="C95:D95"/>
    <mergeCell ref="C112:D112"/>
    <mergeCell ref="C130:D130"/>
    <mergeCell ref="C1:E1"/>
    <mergeCell ref="H1:K1"/>
    <mergeCell ref="H2:K2"/>
    <mergeCell ref="C23:D23"/>
    <mergeCell ref="C40:D40"/>
    <mergeCell ref="A2:F2"/>
  </mergeCells>
  <pageMargins left="0.70866141732283505" right="0.70866141732283505" top="0.74803149606299202" bottom="0.74803149606299202" header="0.31496062992126" footer="0.31496062992126"/>
  <pageSetup paperSize="9" scale="86" orientation="landscape" r:id="rId1"/>
  <rowBreaks count="9" manualBreakCount="9">
    <brk id="23" max="11" man="1"/>
    <brk id="40" max="11" man="1"/>
    <brk id="58" max="11" man="1"/>
    <brk id="77" max="11" man="1"/>
    <brk id="95" max="11" man="1"/>
    <brk id="112" max="11" man="1"/>
    <brk id="130" max="11" man="1"/>
    <brk id="148" max="11" man="1"/>
    <brk id="166" max="11" man="1"/>
  </rowBreaks>
  <ignoredErrors>
    <ignoredError sqref="G8:G9 G177:J177 H8:J9 G81:J81 G170:J170 G175:J175" unlockedFormula="1"/>
    <ignoredError sqref="K24 K26 K67 K79 K159:K160 K167 K178 K174 K9 K11 K13:K17 K63 K81 K108 K136 K142:K143 K150 K152 K170" numberStoredAsText="1"/>
    <ignoredError sqref="G138 G147:H147 I147 I16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4" sqref="B14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все</vt:lpstr>
      <vt:lpstr>лист</vt:lpstr>
      <vt:lpstr>все!Область_печати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2026-01-21T07:57:58Z</cp:lastPrinted>
  <dcterms:created xsi:type="dcterms:W3CDTF">2022-05-16T14:23:00Z</dcterms:created>
  <dcterms:modified xsi:type="dcterms:W3CDTF">2026-01-21T08:36:07Z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